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3" activeTab="5"/>
  </bookViews>
  <sheets>
    <sheet name="Half Gore Statistics" sheetId="1" r:id="rId1"/>
    <sheet name="Full Gore Pattern Calcs" sheetId="2" r:id="rId2"/>
    <sheet name="Metric Half Gore Calcs" sheetId="3" r:id="rId3"/>
    <sheet name="Half Gore Pattern Calcs" sheetId="4" r:id="rId4"/>
    <sheet name="FAI Limits" sheetId="5" r:id="rId5"/>
    <sheet name="Metric Full Gore Calcs" sheetId="6" r:id="rId6"/>
  </sheets>
  <definedNames>
    <definedName name="BottomHalfCutGoreList">'Half Gore Pattern Calcs'!$H$64</definedName>
    <definedName name="Envelope_Diameter">'Half Gore Pattern Calcs'!$E$14:$E$64</definedName>
    <definedName name="FAI_Envelope_Volume_Limits">'FAI Limits'!$A$3</definedName>
    <definedName name="mytest">'Half Gore Statistics'!$B$4:$B$15</definedName>
    <definedName name="_xlnm.Print_Area" localSheetId="3">'Half Gore Pattern Calcs'!$A$1:$H$64</definedName>
    <definedName name="_xlnm.Print_Area" localSheetId="0">'Half Gore Statistics'!$A$1:$H$21</definedName>
    <definedName name="_xlnm.Print_Area" localSheetId="5">'Metric Full Gore Calcs'!$A$1:$H$62</definedName>
    <definedName name="_xlnm.Print_Area" localSheetId="2">'Metric Half Gore Calcs'!$A$1:$H$62</definedName>
    <definedName name="TwoHalvesPerWidthGoreLength">'Half Gore Statistics'!$B$16</definedName>
  </definedNames>
  <calcPr fullCalcOnLoad="1"/>
</workbook>
</file>

<file path=xl/sharedStrings.xml><?xml version="1.0" encoding="utf-8"?>
<sst xmlns="http://schemas.openxmlformats.org/spreadsheetml/2006/main" count="229" uniqueCount="86">
  <si>
    <t>Design Statistics</t>
  </si>
  <si>
    <t>FAI Class</t>
  </si>
  <si>
    <t>Envelope Volume</t>
  </si>
  <si>
    <t>ft3</t>
  </si>
  <si>
    <t>Envelope Height</t>
  </si>
  <si>
    <t>feet</t>
  </si>
  <si>
    <t>Number of Gores</t>
  </si>
  <si>
    <t>Equator Diameter</t>
  </si>
  <si>
    <t>Max Lift @ SL</t>
  </si>
  <si>
    <t>lb</t>
  </si>
  <si>
    <t>Surface Area</t>
  </si>
  <si>
    <t>sq feet</t>
  </si>
  <si>
    <t>sq yards</t>
  </si>
  <si>
    <t>Full Height Half Gores</t>
  </si>
  <si>
    <t>Multi Panel Construction</t>
  </si>
  <si>
    <t>Maximum half gore cut width</t>
  </si>
  <si>
    <t>inches</t>
  </si>
  <si>
    <t>Panels / Gore</t>
  </si>
  <si>
    <t>Distance from bottom to get 2 half gores / width</t>
  </si>
  <si>
    <t>Distance from top to get 2 half gores/width</t>
  </si>
  <si>
    <t>Base Gore Length</t>
  </si>
  <si>
    <t>Gore Length</t>
  </si>
  <si>
    <t>Fabric Required</t>
  </si>
  <si>
    <t>yards</t>
  </si>
  <si>
    <t>Balloon Gore Layout</t>
  </si>
  <si>
    <t>Full Gore Design</t>
  </si>
  <si>
    <t>Volume</t>
  </si>
  <si>
    <t>Cubic Feet</t>
  </si>
  <si>
    <t>Seam Allowance</t>
  </si>
  <si>
    <t>Inches</t>
  </si>
  <si>
    <t>Fabric Width</t>
  </si>
  <si>
    <t>Radius</t>
  </si>
  <si>
    <t>Gore</t>
  </si>
  <si>
    <t>Circum-</t>
  </si>
  <si>
    <t>Sewn</t>
  </si>
  <si>
    <t xml:space="preserve">Cut </t>
  </si>
  <si>
    <t>Height</t>
  </si>
  <si>
    <t>s</t>
  </si>
  <si>
    <t>r</t>
  </si>
  <si>
    <t>Length</t>
  </si>
  <si>
    <t>Diameter</t>
  </si>
  <si>
    <t>ference</t>
  </si>
  <si>
    <t>from</t>
  </si>
  <si>
    <t>Feet</t>
  </si>
  <si>
    <t>Base</t>
  </si>
  <si>
    <t>Pattern Cutting Guide</t>
  </si>
  <si>
    <t>Half Gore Design</t>
  </si>
  <si>
    <t>Cubic Meters</t>
  </si>
  <si>
    <t>Gore Length Meters</t>
  </si>
  <si>
    <t>cubic meters</t>
  </si>
  <si>
    <t>mm</t>
  </si>
  <si>
    <t>cubic feet</t>
  </si>
  <si>
    <t>2 half gores make a gore</t>
  </si>
  <si>
    <t>Valve finishes at width</t>
  </si>
  <si>
    <t>meters</t>
  </si>
  <si>
    <t>Load tape Placements</t>
  </si>
  <si>
    <t>Envelope starts at width</t>
  </si>
  <si>
    <t>Mouth starts at width</t>
  </si>
  <si>
    <t>Sewn Half</t>
  </si>
  <si>
    <t>Cut Half</t>
  </si>
  <si>
    <t>Station</t>
  </si>
  <si>
    <t>Half Gore</t>
  </si>
  <si>
    <t>Meters</t>
  </si>
  <si>
    <t>Position</t>
  </si>
  <si>
    <t>Cut Width</t>
  </si>
  <si>
    <t>Top</t>
  </si>
  <si>
    <t>Bottom</t>
  </si>
  <si>
    <t>FAI Envelope Volume Limits</t>
  </si>
  <si>
    <t xml:space="preserve">Minimum </t>
  </si>
  <si>
    <t>Maximum</t>
  </si>
  <si>
    <t>Minimum</t>
  </si>
  <si>
    <t>AX</t>
  </si>
  <si>
    <t>Size</t>
  </si>
  <si>
    <t>Class</t>
  </si>
  <si>
    <t>Cubic feet</t>
  </si>
  <si>
    <t>AX-1</t>
  </si>
  <si>
    <t>AX-2</t>
  </si>
  <si>
    <t>AX-3</t>
  </si>
  <si>
    <t>AX-4</t>
  </si>
  <si>
    <t>AX-5</t>
  </si>
  <si>
    <t>AX-6</t>
  </si>
  <si>
    <t>AX-7</t>
  </si>
  <si>
    <t>AX-8</t>
  </si>
  <si>
    <t>AX-9</t>
  </si>
  <si>
    <t xml:space="preserve">Sewn </t>
  </si>
  <si>
    <t>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</si>
</sst>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6"/>
      <name val="Braggadocio"/>
      <family val="0"/>
    </font>
    <font>
      <sz val="16"/>
      <name val="Braggadocio"/>
      <family val="0"/>
    </font>
    <font>
      <sz val="8"/>
      <name val="Arial"/>
      <family val="0"/>
    </font>
    <font>
      <sz val="12"/>
      <name val="Braggadocio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173" fontId="6" fillId="0" borderId="20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172" fontId="6" fillId="2" borderId="19" xfId="0" applyNumberFormat="1" applyFont="1" applyFill="1" applyBorder="1" applyAlignment="1">
      <alignment/>
    </xf>
    <xf numFmtId="173" fontId="6" fillId="2" borderId="19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173" fontId="6" fillId="2" borderId="2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/>
    </xf>
    <xf numFmtId="173" fontId="6" fillId="2" borderId="0" xfId="0" applyNumberFormat="1" applyFont="1" applyFill="1" applyAlignment="1">
      <alignment/>
    </xf>
    <xf numFmtId="173" fontId="6" fillId="2" borderId="2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2" fontId="6" fillId="0" borderId="13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/>
    </xf>
    <xf numFmtId="173" fontId="6" fillId="0" borderId="14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173" fontId="6" fillId="0" borderId="8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173" fontId="6" fillId="0" borderId="8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73" fontId="6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173" fontId="6" fillId="0" borderId="0" xfId="0" applyNumberFormat="1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8" fillId="0" borderId="0" xfId="0" applyNumberFormat="1" applyFont="1" applyFill="1" applyAlignment="1" applyProtection="1">
      <alignment horizontal="right"/>
      <protection locked="0"/>
    </xf>
    <xf numFmtId="2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22575"/>
          <c:w val="0.61925"/>
          <c:h val="0.74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'Metric Half Gore Calcs'!$K$12:$K$62</c:f>
              <c:numCache/>
            </c:numRef>
          </c:xVal>
          <c:yVal>
            <c:numRef>
              <c:f>'Metric Half Gore Calcs'!$L$12:$L$62</c:f>
              <c:numCache/>
            </c:numRef>
          </c:yVal>
          <c:smooth val="1"/>
        </c:ser>
        <c:axId val="59948314"/>
        <c:axId val="2663915"/>
      </c:scatterChart>
      <c:valAx>
        <c:axId val="59948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915"/>
        <c:crosses val="autoZero"/>
        <c:crossBetween val="midCat"/>
        <c:dispUnits/>
      </c:valAx>
      <c:valAx>
        <c:axId val="2663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48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Shape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15"/>
          <c:w val="0.62125"/>
          <c:h val="0.80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'Half Gore Pattern Calcs'!$K$14:$K$64</c:f>
              <c:numCache/>
            </c:numRef>
          </c:xVal>
          <c:yVal>
            <c:numRef>
              <c:f>'Half Gore Pattern Calcs'!$L$14:$L$64</c:f>
              <c:numCache/>
            </c:numRef>
          </c:yVal>
          <c:smooth val="1"/>
        </c:ser>
        <c:axId val="23975236"/>
        <c:axId val="14450533"/>
      </c:scatterChart>
      <c:valAx>
        <c:axId val="239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50533"/>
        <c:crosses val="autoZero"/>
        <c:crossBetween val="midCat"/>
        <c:dispUnits/>
      </c:valAx>
      <c:valAx>
        <c:axId val="14450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975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239"/>
          <c:w val="0.61925"/>
          <c:h val="0.707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'Metric Full Gore Calcs'!$K$12:$K$62</c:f>
              <c:numCache/>
            </c:numRef>
          </c:xVal>
          <c:yVal>
            <c:numRef>
              <c:f>'Metric Full Gore Calcs'!$L$12:$L$62</c:f>
              <c:numCache/>
            </c:numRef>
          </c:yVal>
          <c:smooth val="1"/>
        </c:ser>
        <c:axId val="62945934"/>
        <c:axId val="29642495"/>
      </c:scatterChart>
      <c:valAx>
        <c:axId val="6294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42495"/>
        <c:crosses val="autoZero"/>
        <c:crossBetween val="midCat"/>
        <c:dispUnits/>
      </c:valAx>
      <c:valAx>
        <c:axId val="29642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45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42</xdr:row>
      <xdr:rowOff>9525</xdr:rowOff>
    </xdr:from>
    <xdr:to>
      <xdr:col>15</xdr:col>
      <xdr:colOff>1276350</xdr:colOff>
      <xdr:row>62</xdr:row>
      <xdr:rowOff>19050</xdr:rowOff>
    </xdr:to>
    <xdr:graphicFrame>
      <xdr:nvGraphicFramePr>
        <xdr:cNvPr id="1" name="Chart 3"/>
        <xdr:cNvGraphicFramePr/>
      </xdr:nvGraphicFramePr>
      <xdr:xfrm>
        <a:off x="7810500" y="6934200"/>
        <a:ext cx="2847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48</xdr:row>
      <xdr:rowOff>66675</xdr:rowOff>
    </xdr:from>
    <xdr:to>
      <xdr:col>17</xdr:col>
      <xdr:colOff>28575</xdr:colOff>
      <xdr:row>64</xdr:row>
      <xdr:rowOff>152400</xdr:rowOff>
    </xdr:to>
    <xdr:graphicFrame>
      <xdr:nvGraphicFramePr>
        <xdr:cNvPr id="1" name="Chart 9"/>
        <xdr:cNvGraphicFramePr/>
      </xdr:nvGraphicFramePr>
      <xdr:xfrm>
        <a:off x="8705850" y="7962900"/>
        <a:ext cx="2600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50</xdr:row>
      <xdr:rowOff>85725</xdr:rowOff>
    </xdr:from>
    <xdr:to>
      <xdr:col>15</xdr:col>
      <xdr:colOff>1276350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7810500" y="8305800"/>
        <a:ext cx="28479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8">
      <selection activeCell="A1" sqref="A1"/>
    </sheetView>
  </sheetViews>
  <sheetFormatPr defaultColWidth="9.140625" defaultRowHeight="12.75"/>
  <cols>
    <col min="1" max="1" width="24.8515625" style="0" customWidth="1"/>
    <col min="3" max="3" width="7.7109375" style="0" customWidth="1"/>
    <col min="4" max="4" width="4.8515625" style="0" customWidth="1"/>
    <col min="5" max="5" width="22.7109375" style="0" customWidth="1"/>
    <col min="6" max="6" width="9.140625" style="1" customWidth="1"/>
  </cols>
  <sheetData>
    <row r="1" ht="20.25">
      <c r="A1" s="3" t="s">
        <v>0</v>
      </c>
    </row>
    <row r="3" spans="1:2" ht="12.75">
      <c r="A3" t="s">
        <v>1</v>
      </c>
      <c r="B3" s="44" t="str">
        <f>VLOOKUP(B4,'FAI Limits'!D7:F15,3)</f>
        <v>AX-5</v>
      </c>
    </row>
    <row r="4" spans="1:7" ht="12.75">
      <c r="A4" t="s">
        <v>2</v>
      </c>
      <c r="B4" s="2">
        <f>'Half Gore Pattern Calcs'!C3</f>
        <v>42377</v>
      </c>
      <c r="C4" t="s">
        <v>3</v>
      </c>
      <c r="E4" t="s">
        <v>4</v>
      </c>
      <c r="F4" s="1">
        <f>'Half Gore Pattern Calcs'!L14</f>
        <v>44.801542344770134</v>
      </c>
      <c r="G4" t="s">
        <v>5</v>
      </c>
    </row>
    <row r="5" spans="1:7" ht="12.75">
      <c r="A5" t="s">
        <v>6</v>
      </c>
      <c r="B5">
        <f>'Half Gore Pattern Calcs'!C5</f>
        <v>16</v>
      </c>
      <c r="E5" t="s">
        <v>7</v>
      </c>
      <c r="F5" s="1">
        <f>MAX('Half Gore Pattern Calcs'!E14:E64)</f>
        <v>45.485435960266095</v>
      </c>
      <c r="G5" t="s">
        <v>5</v>
      </c>
    </row>
    <row r="6" spans="1:3" ht="12.75">
      <c r="A6" t="s">
        <v>8</v>
      </c>
      <c r="B6">
        <f>ROUND(20*B4/1000,0)</f>
        <v>848</v>
      </c>
      <c r="C6" t="s">
        <v>9</v>
      </c>
    </row>
    <row r="9" spans="1:6" ht="12.75">
      <c r="A9" t="s">
        <v>10</v>
      </c>
      <c r="B9">
        <f>SUM('Half Gore Pattern Calcs'!I14:I64)*B5*2</f>
        <v>6258.350774115541</v>
      </c>
      <c r="C9" t="s">
        <v>11</v>
      </c>
      <c r="F9"/>
    </row>
    <row r="10" spans="2:3" ht="12.75">
      <c r="B10">
        <f>B9/3.25/3.25</f>
        <v>592.506582164785</v>
      </c>
      <c r="C10" t="s">
        <v>12</v>
      </c>
    </row>
    <row r="13" spans="1:5" ht="12.75">
      <c r="A13" s="27" t="s">
        <v>13</v>
      </c>
      <c r="E13" s="27" t="s">
        <v>14</v>
      </c>
    </row>
    <row r="14" spans="2:6" ht="12.75">
      <c r="B14">
        <v>15.305123598633433</v>
      </c>
      <c r="F14"/>
    </row>
    <row r="15" spans="1:27" ht="12.75">
      <c r="A15" t="s">
        <v>15</v>
      </c>
      <c r="B15" s="1">
        <f>MAX('Half Gore Pattern Calcs'!H14:H64)</f>
        <v>55.08639210478948</v>
      </c>
      <c r="C15" t="s">
        <v>16</v>
      </c>
      <c r="E15" t="s">
        <v>17</v>
      </c>
      <c r="F15" s="28">
        <f>ROUNDUP(('Half Gore Pattern Calcs'!G4-B18)/('Half Gore Pattern Calcs'!C6/12),0)</f>
        <v>13</v>
      </c>
      <c r="AA15">
        <v>58.43774464932783</v>
      </c>
    </row>
    <row r="16" spans="1:27" ht="25.5">
      <c r="A16" s="29" t="s">
        <v>18</v>
      </c>
      <c r="B16" s="31">
        <v>11.576796517725453</v>
      </c>
      <c r="C16" t="s">
        <v>5</v>
      </c>
      <c r="AA16">
        <v>6.956874363015163</v>
      </c>
    </row>
    <row r="17" spans="1:27" ht="25.5">
      <c r="A17" s="29" t="s">
        <v>19</v>
      </c>
      <c r="B17" s="1">
        <f>B19-AA17</f>
        <v>30.01468886125678</v>
      </c>
      <c r="C17" t="s">
        <v>5</v>
      </c>
      <c r="D17" s="43"/>
      <c r="AA17">
        <v>39.554054768895405</v>
      </c>
    </row>
    <row r="18" spans="1:27" ht="12.75">
      <c r="A18" s="29" t="s">
        <v>20</v>
      </c>
      <c r="B18" s="1">
        <f>AA18</f>
        <v>6.753131302006497</v>
      </c>
      <c r="C18" t="s">
        <v>5</v>
      </c>
      <c r="D18" s="43"/>
      <c r="AA18">
        <v>6.753131302006497</v>
      </c>
    </row>
    <row r="19" spans="1:3" ht="12.75">
      <c r="A19" t="s">
        <v>21</v>
      </c>
      <c r="B19" s="1">
        <f>'Half Gore Pattern Calcs'!G4</f>
        <v>69.56874363015218</v>
      </c>
      <c r="C19" t="s">
        <v>5</v>
      </c>
    </row>
    <row r="20" spans="1:3" ht="12.75">
      <c r="A20" t="s">
        <v>22</v>
      </c>
      <c r="B20">
        <f>ROUND((((B19-(B16+B17+B18))*B5*2)+(B16+B17)*B5)/3.25,0)</f>
        <v>414</v>
      </c>
      <c r="C20" t="s">
        <v>23</v>
      </c>
    </row>
  </sheetData>
  <printOptions gridLines="1"/>
  <pageMargins left="0.75" right="0.75" top="1" bottom="1" header="0.5" footer="0.5"/>
  <pageSetup orientation="landscape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1">
      <selection activeCell="C4" sqref="C4"/>
    </sheetView>
  </sheetViews>
  <sheetFormatPr defaultColWidth="9.140625" defaultRowHeight="12.75"/>
  <sheetData>
    <row r="1" spans="1:12" ht="20.25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45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4"/>
      <c r="B3" s="34" t="s">
        <v>26</v>
      </c>
      <c r="C3" s="35">
        <v>126</v>
      </c>
      <c r="D3" s="33" t="s">
        <v>27</v>
      </c>
      <c r="E3" s="33"/>
      <c r="F3" s="33"/>
      <c r="G3" s="36" t="s">
        <v>21</v>
      </c>
      <c r="H3" s="33"/>
      <c r="I3" s="33"/>
      <c r="J3" s="33"/>
      <c r="K3" s="33"/>
      <c r="L3" s="33"/>
    </row>
    <row r="4" spans="1:12" ht="12.75">
      <c r="A4" s="34"/>
      <c r="B4" s="34" t="s">
        <v>28</v>
      </c>
      <c r="C4" s="37">
        <v>0.25</v>
      </c>
      <c r="D4" s="33" t="s">
        <v>29</v>
      </c>
      <c r="E4" s="33"/>
      <c r="F4" s="33"/>
      <c r="G4" s="31">
        <f>(C3/0.12586)^(1/3)</f>
        <v>10.003706449561038</v>
      </c>
      <c r="H4" s="33"/>
      <c r="I4" s="33"/>
      <c r="J4" s="33"/>
      <c r="K4" s="33"/>
      <c r="L4" s="33"/>
    </row>
    <row r="5" spans="1:12" ht="12.75">
      <c r="A5" s="34"/>
      <c r="B5" s="34" t="s">
        <v>6</v>
      </c>
      <c r="C5" s="37">
        <v>12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34"/>
      <c r="B6" s="34" t="s">
        <v>30</v>
      </c>
      <c r="C6" s="37">
        <v>20</v>
      </c>
      <c r="D6" s="33" t="s">
        <v>29</v>
      </c>
      <c r="E6" s="33"/>
      <c r="F6" s="33"/>
      <c r="G6" s="33" t="s">
        <v>22</v>
      </c>
      <c r="H6" s="33"/>
      <c r="I6" s="33"/>
      <c r="J6" s="33"/>
      <c r="K6" s="33"/>
      <c r="L6" s="33"/>
    </row>
    <row r="7" spans="1:12" ht="12.75">
      <c r="A7" s="34"/>
      <c r="B7" s="34"/>
      <c r="C7" s="37"/>
      <c r="D7" s="33"/>
      <c r="E7" s="33"/>
      <c r="F7" s="33"/>
      <c r="G7" s="33">
        <f>G4*C5/3.25</f>
        <v>36.9367622753023</v>
      </c>
      <c r="H7" s="33"/>
      <c r="I7" s="33"/>
      <c r="J7" s="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8"/>
      <c r="C10" s="39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40"/>
      <c r="B11" s="40" t="s">
        <v>31</v>
      </c>
      <c r="C11" s="40" t="s">
        <v>32</v>
      </c>
      <c r="D11" s="40"/>
      <c r="E11" s="40"/>
      <c r="F11" s="40" t="s">
        <v>33</v>
      </c>
      <c r="G11" s="40" t="s">
        <v>34</v>
      </c>
      <c r="H11" s="40" t="s">
        <v>35</v>
      </c>
      <c r="I11" s="33"/>
      <c r="J11" s="33"/>
      <c r="K11" s="33" t="s">
        <v>31</v>
      </c>
      <c r="L11" s="33" t="s">
        <v>36</v>
      </c>
    </row>
    <row r="12" spans="1:12" ht="12.75">
      <c r="A12" s="40" t="s">
        <v>37</v>
      </c>
      <c r="B12" s="40" t="s">
        <v>38</v>
      </c>
      <c r="C12" s="40" t="s">
        <v>39</v>
      </c>
      <c r="D12" s="40" t="s">
        <v>31</v>
      </c>
      <c r="E12" s="40" t="s">
        <v>40</v>
      </c>
      <c r="F12" s="40" t="s">
        <v>41</v>
      </c>
      <c r="G12" s="40" t="s">
        <v>32</v>
      </c>
      <c r="H12" s="40" t="s">
        <v>32</v>
      </c>
      <c r="I12" s="33"/>
      <c r="J12" s="33"/>
      <c r="K12" s="33"/>
      <c r="L12" s="33" t="s">
        <v>42</v>
      </c>
    </row>
    <row r="13" spans="1:12" ht="12.75">
      <c r="A13" s="40"/>
      <c r="B13" s="40"/>
      <c r="C13" s="40" t="s">
        <v>43</v>
      </c>
      <c r="D13" s="40" t="s">
        <v>43</v>
      </c>
      <c r="E13" s="40" t="s">
        <v>43</v>
      </c>
      <c r="F13" s="40" t="s">
        <v>29</v>
      </c>
      <c r="G13" s="40" t="s">
        <v>29</v>
      </c>
      <c r="H13" s="40" t="s">
        <v>29</v>
      </c>
      <c r="I13" s="33"/>
      <c r="J13" s="33"/>
      <c r="K13" s="33"/>
      <c r="L13" s="33" t="s">
        <v>44</v>
      </c>
    </row>
    <row r="14" spans="1:12" ht="12.75">
      <c r="A14" s="31">
        <v>1</v>
      </c>
      <c r="B14" s="30">
        <v>0</v>
      </c>
      <c r="C14" s="31">
        <f aca="true" t="shared" si="0" ref="C14:D29">$G$4*A14</f>
        <v>10.003706449561038</v>
      </c>
      <c r="D14" s="31">
        <f t="shared" si="0"/>
        <v>0</v>
      </c>
      <c r="E14" s="31">
        <f aca="true" t="shared" si="1" ref="E14:E29">D14*2</f>
        <v>0</v>
      </c>
      <c r="F14" s="31">
        <f aca="true" t="shared" si="2" ref="F14:F29">E14*12*3.1416</f>
        <v>0</v>
      </c>
      <c r="G14" s="31">
        <f>F14/$C$5</f>
        <v>0</v>
      </c>
      <c r="H14" s="31">
        <f>G14+$C$4</f>
        <v>0.25</v>
      </c>
      <c r="I14" s="41">
        <f>ABS(C14-C15)*H15/12-ABS(C14-C15)*(H15-H14)/24</f>
        <v>0.014647975247230135</v>
      </c>
      <c r="J14" s="33"/>
      <c r="K14" s="31">
        <f aca="true" t="shared" si="3" ref="K14:K45">D14</f>
        <v>0</v>
      </c>
      <c r="L14" s="42">
        <f aca="true" t="shared" si="4" ref="L14:L29">L15+SQRT(ABS((C14-C15)^2-(D14-D15)^2))</f>
        <v>6.442282186986466</v>
      </c>
    </row>
    <row r="15" spans="1:12" ht="12.75">
      <c r="A15" s="31">
        <v>0.98</v>
      </c>
      <c r="B15" s="30">
        <v>0.02</v>
      </c>
      <c r="C15" s="31">
        <f t="shared" si="0"/>
        <v>9.803632320569818</v>
      </c>
      <c r="D15" s="31">
        <f t="shared" si="0"/>
        <v>0.20007412899122076</v>
      </c>
      <c r="E15" s="31">
        <f t="shared" si="1"/>
        <v>0.4001482579824415</v>
      </c>
      <c r="F15" s="31">
        <f t="shared" si="2"/>
        <v>15.085269207331658</v>
      </c>
      <c r="G15" s="31">
        <f aca="true" t="shared" si="5" ref="G15:G30">F15/$C$5</f>
        <v>1.2571057672776382</v>
      </c>
      <c r="H15" s="31">
        <f aca="true" t="shared" si="6" ref="H15:H30">G15+$C$4</f>
        <v>1.5071057672776382</v>
      </c>
      <c r="I15" s="41">
        <f aca="true" t="shared" si="7" ref="I15:I30">ABS(C15-C16)*H16/12-ABS(C15-C16)*(H16-H15)/24</f>
        <v>0.03560750370038987</v>
      </c>
      <c r="J15" s="33"/>
      <c r="K15" s="31">
        <f t="shared" si="3"/>
        <v>0.20007412899122076</v>
      </c>
      <c r="L15" s="42">
        <f t="shared" si="4"/>
        <v>6.442282172558478</v>
      </c>
    </row>
    <row r="16" spans="1:12" ht="12.75">
      <c r="A16" s="31">
        <v>0.96</v>
      </c>
      <c r="B16" s="30">
        <v>0.04</v>
      </c>
      <c r="C16" s="31">
        <f t="shared" si="0"/>
        <v>9.603558191578596</v>
      </c>
      <c r="D16" s="31">
        <f t="shared" si="0"/>
        <v>0.4001482579824415</v>
      </c>
      <c r="E16" s="31">
        <f t="shared" si="1"/>
        <v>0.800296515964883</v>
      </c>
      <c r="F16" s="31">
        <f t="shared" si="2"/>
        <v>30.170538414663316</v>
      </c>
      <c r="G16" s="31">
        <f t="shared" si="5"/>
        <v>2.5142115345552765</v>
      </c>
      <c r="H16" s="31">
        <f t="shared" si="6"/>
        <v>2.7642115345552765</v>
      </c>
      <c r="I16" s="41">
        <f t="shared" si="7"/>
        <v>0.056561792271435686</v>
      </c>
      <c r="J16" s="33"/>
      <c r="K16" s="31">
        <f t="shared" si="3"/>
        <v>0.4001482579824415</v>
      </c>
      <c r="L16" s="42">
        <f t="shared" si="4"/>
        <v>6.4422821502067364</v>
      </c>
    </row>
    <row r="17" spans="1:12" ht="12.75">
      <c r="A17" s="31">
        <v>0.94</v>
      </c>
      <c r="B17" s="30">
        <v>0.05999</v>
      </c>
      <c r="C17" s="31">
        <f t="shared" si="0"/>
        <v>9.403484062587376</v>
      </c>
      <c r="D17" s="31">
        <f t="shared" si="0"/>
        <v>0.6001223499091667</v>
      </c>
      <c r="E17" s="31">
        <f t="shared" si="1"/>
        <v>1.2002446998183334</v>
      </c>
      <c r="F17" s="31">
        <f t="shared" si="2"/>
        <v>45.24826498739131</v>
      </c>
      <c r="G17" s="31">
        <f t="shared" si="5"/>
        <v>3.7706887489492757</v>
      </c>
      <c r="H17" s="31">
        <f t="shared" si="6"/>
        <v>4.020688748949276</v>
      </c>
      <c r="I17" s="41">
        <f t="shared" si="7"/>
        <v>0.07750560107825524</v>
      </c>
      <c r="J17" s="33"/>
      <c r="K17" s="31">
        <f t="shared" si="3"/>
        <v>0.6001223499091667</v>
      </c>
      <c r="L17" s="42">
        <f t="shared" si="4"/>
        <v>6.435956041633758</v>
      </c>
    </row>
    <row r="18" spans="1:12" ht="12.75">
      <c r="A18" s="31">
        <v>0.92</v>
      </c>
      <c r="B18" s="30">
        <v>0.07997</v>
      </c>
      <c r="C18" s="31">
        <f t="shared" si="0"/>
        <v>9.203409933596156</v>
      </c>
      <c r="D18" s="31">
        <f t="shared" si="0"/>
        <v>0.7999964047713962</v>
      </c>
      <c r="E18" s="31">
        <f t="shared" si="1"/>
        <v>1.5999928095427924</v>
      </c>
      <c r="F18" s="31">
        <f t="shared" si="2"/>
        <v>60.31844892551564</v>
      </c>
      <c r="G18" s="31">
        <f t="shared" si="5"/>
        <v>5.026537410459636</v>
      </c>
      <c r="H18" s="31">
        <f t="shared" si="6"/>
        <v>5.276537410459636</v>
      </c>
      <c r="I18" s="41">
        <f t="shared" si="7"/>
        <v>0.09841273071028178</v>
      </c>
      <c r="J18" s="33"/>
      <c r="K18" s="31">
        <f t="shared" si="3"/>
        <v>0.7999964047713962</v>
      </c>
      <c r="L18" s="42">
        <f t="shared" si="4"/>
        <v>6.427010691750947</v>
      </c>
    </row>
    <row r="19" spans="1:12" ht="12.75">
      <c r="A19" s="31">
        <v>0.9</v>
      </c>
      <c r="B19" s="30">
        <v>0.09989</v>
      </c>
      <c r="C19" s="31">
        <f t="shared" si="0"/>
        <v>9.003335804604935</v>
      </c>
      <c r="D19" s="31">
        <f t="shared" si="0"/>
        <v>0.9992702372466522</v>
      </c>
      <c r="E19" s="31">
        <f t="shared" si="1"/>
        <v>1.9985404744933044</v>
      </c>
      <c r="F19" s="31">
        <f t="shared" si="2"/>
        <v>75.34337705601799</v>
      </c>
      <c r="G19" s="31">
        <f t="shared" si="5"/>
        <v>6.278614754668165</v>
      </c>
      <c r="H19" s="31">
        <f t="shared" si="6"/>
        <v>6.528614754668165</v>
      </c>
      <c r="I19" s="41">
        <f t="shared" si="7"/>
        <v>0.11925174187483659</v>
      </c>
      <c r="J19" s="33"/>
      <c r="K19" s="31">
        <f t="shared" si="3"/>
        <v>0.9992702372466522</v>
      </c>
      <c r="L19" s="42">
        <f t="shared" si="4"/>
        <v>6.409133421763081</v>
      </c>
    </row>
    <row r="20" spans="1:12" ht="12.75">
      <c r="A20" s="31">
        <v>0.88</v>
      </c>
      <c r="B20" s="30">
        <v>0.11974</v>
      </c>
      <c r="C20" s="31">
        <f t="shared" si="0"/>
        <v>8.803261675613713</v>
      </c>
      <c r="D20" s="31">
        <f t="shared" si="0"/>
        <v>1.1978438102704387</v>
      </c>
      <c r="E20" s="31">
        <f t="shared" si="1"/>
        <v>2.3956876205408775</v>
      </c>
      <c r="F20" s="31">
        <f t="shared" si="2"/>
        <v>90.31550674429464</v>
      </c>
      <c r="G20" s="31">
        <f t="shared" si="5"/>
        <v>7.5262922286912195</v>
      </c>
      <c r="H20" s="31">
        <f t="shared" si="6"/>
        <v>7.7762922286912195</v>
      </c>
      <c r="I20" s="41">
        <f t="shared" si="7"/>
        <v>0.1399754756328969</v>
      </c>
      <c r="J20" s="33"/>
      <c r="K20" s="31">
        <f t="shared" si="3"/>
        <v>1.1978438102704387</v>
      </c>
      <c r="L20" s="42">
        <f t="shared" si="4"/>
        <v>6.384675433535039</v>
      </c>
    </row>
    <row r="21" spans="1:12" ht="12.75">
      <c r="A21" s="31">
        <v>0.86</v>
      </c>
      <c r="B21" s="30">
        <v>0.13944</v>
      </c>
      <c r="C21" s="31">
        <f t="shared" si="0"/>
        <v>8.603187546622493</v>
      </c>
      <c r="D21" s="31">
        <f t="shared" si="0"/>
        <v>1.3949168273267913</v>
      </c>
      <c r="E21" s="31">
        <f t="shared" si="1"/>
        <v>2.7898336546535827</v>
      </c>
      <c r="F21" s="31">
        <f t="shared" si="2"/>
        <v>105.17449691351634</v>
      </c>
      <c r="G21" s="31">
        <f t="shared" si="5"/>
        <v>8.764541409459694</v>
      </c>
      <c r="H21" s="31">
        <f t="shared" si="6"/>
        <v>9.014541409459694</v>
      </c>
      <c r="I21" s="41">
        <f t="shared" si="7"/>
        <v>0.16050009387065467</v>
      </c>
      <c r="J21" s="33"/>
      <c r="K21" s="31">
        <f t="shared" si="3"/>
        <v>1.3949168273267913</v>
      </c>
      <c r="L21" s="42">
        <f t="shared" si="4"/>
        <v>6.350151774402467</v>
      </c>
    </row>
    <row r="22" spans="1:12" ht="12.75">
      <c r="A22" s="31">
        <v>0.84</v>
      </c>
      <c r="B22" s="30">
        <v>0.15891</v>
      </c>
      <c r="C22" s="31">
        <f t="shared" si="0"/>
        <v>8.403113417631271</v>
      </c>
      <c r="D22" s="31">
        <f t="shared" si="0"/>
        <v>1.5896889918997446</v>
      </c>
      <c r="E22" s="31">
        <f t="shared" si="1"/>
        <v>3.179377983799489</v>
      </c>
      <c r="F22" s="31">
        <f t="shared" si="2"/>
        <v>119.8600064868537</v>
      </c>
      <c r="G22" s="31">
        <f t="shared" si="5"/>
        <v>9.988333873904475</v>
      </c>
      <c r="H22" s="31">
        <f t="shared" si="6"/>
        <v>10.238333873904475</v>
      </c>
      <c r="I22" s="41">
        <f t="shared" si="7"/>
        <v>0.18073127871006542</v>
      </c>
      <c r="J22" s="33"/>
      <c r="K22" s="31">
        <f t="shared" si="3"/>
        <v>1.5896889918997446</v>
      </c>
      <c r="L22" s="42">
        <f t="shared" si="4"/>
        <v>6.304397419427639</v>
      </c>
    </row>
    <row r="23" spans="1:12" ht="12.75">
      <c r="A23" s="31">
        <v>0.82</v>
      </c>
      <c r="B23" s="30">
        <v>0.17805</v>
      </c>
      <c r="C23" s="31">
        <f t="shared" si="0"/>
        <v>8.203039288640051</v>
      </c>
      <c r="D23" s="31">
        <f t="shared" si="0"/>
        <v>1.781159933344343</v>
      </c>
      <c r="E23" s="31">
        <f t="shared" si="1"/>
        <v>3.562319866688686</v>
      </c>
      <c r="F23" s="31">
        <f t="shared" si="2"/>
        <v>134.2966091182701</v>
      </c>
      <c r="G23" s="31">
        <f t="shared" si="5"/>
        <v>11.191384093189177</v>
      </c>
      <c r="H23" s="31">
        <f t="shared" si="6"/>
        <v>11.441384093189177</v>
      </c>
      <c r="I23" s="41">
        <f t="shared" si="7"/>
        <v>0.20054851286252767</v>
      </c>
      <c r="J23" s="33"/>
      <c r="K23" s="31">
        <f t="shared" si="3"/>
        <v>1.781159933344343</v>
      </c>
      <c r="L23" s="42">
        <f t="shared" si="4"/>
        <v>6.246358331961393</v>
      </c>
    </row>
    <row r="24" spans="1:12" ht="12.75">
      <c r="A24" s="31">
        <v>0.8</v>
      </c>
      <c r="B24" s="30">
        <v>0.19673</v>
      </c>
      <c r="C24" s="31">
        <f t="shared" si="0"/>
        <v>8.00296515964883</v>
      </c>
      <c r="D24" s="31">
        <f t="shared" si="0"/>
        <v>1.968029169822143</v>
      </c>
      <c r="E24" s="31">
        <f t="shared" si="1"/>
        <v>3.936058339644286</v>
      </c>
      <c r="F24" s="31">
        <f t="shared" si="2"/>
        <v>148.38625055791786</v>
      </c>
      <c r="G24" s="31">
        <f t="shared" si="5"/>
        <v>12.365520879826489</v>
      </c>
      <c r="H24" s="31">
        <f t="shared" si="6"/>
        <v>12.615520879826489</v>
      </c>
      <c r="I24" s="41">
        <f t="shared" si="7"/>
        <v>0.21980507962886783</v>
      </c>
      <c r="J24" s="33"/>
      <c r="K24" s="31">
        <f t="shared" si="3"/>
        <v>1.968029169822143</v>
      </c>
      <c r="L24" s="42">
        <f t="shared" si="4"/>
        <v>6.174877246702428</v>
      </c>
    </row>
    <row r="25" spans="1:12" ht="12.75">
      <c r="A25" s="31">
        <v>0.78</v>
      </c>
      <c r="B25" s="30">
        <v>0.2148</v>
      </c>
      <c r="C25" s="31">
        <f t="shared" si="0"/>
        <v>7.8028910306576105</v>
      </c>
      <c r="D25" s="31">
        <f t="shared" si="0"/>
        <v>2.148796145365711</v>
      </c>
      <c r="E25" s="31">
        <f t="shared" si="1"/>
        <v>4.297592290731422</v>
      </c>
      <c r="F25" s="31">
        <f t="shared" si="2"/>
        <v>162.015791286742</v>
      </c>
      <c r="G25" s="31">
        <f t="shared" si="5"/>
        <v>13.501315940561833</v>
      </c>
      <c r="H25" s="31">
        <f t="shared" si="6"/>
        <v>13.751315940561833</v>
      </c>
      <c r="I25" s="41">
        <f t="shared" si="7"/>
        <v>0.23833854266357513</v>
      </c>
      <c r="J25" s="33"/>
      <c r="K25" s="31">
        <f t="shared" si="3"/>
        <v>2.148796145365711</v>
      </c>
      <c r="L25" s="42">
        <f t="shared" si="4"/>
        <v>6.089127858107368</v>
      </c>
    </row>
    <row r="26" spans="1:12" ht="12.75">
      <c r="A26" s="31">
        <v>0.76</v>
      </c>
      <c r="B26" s="30">
        <v>0.2321</v>
      </c>
      <c r="C26" s="31">
        <f t="shared" si="0"/>
        <v>7.602816901666389</v>
      </c>
      <c r="D26" s="31">
        <f t="shared" si="0"/>
        <v>2.321860266943117</v>
      </c>
      <c r="E26" s="31">
        <f t="shared" si="1"/>
        <v>4.643720533886234</v>
      </c>
      <c r="F26" s="31">
        <f t="shared" si="2"/>
        <v>175.0645491510839</v>
      </c>
      <c r="G26" s="31">
        <f t="shared" si="5"/>
        <v>14.588712429256992</v>
      </c>
      <c r="H26" s="31">
        <f t="shared" si="6"/>
        <v>14.838712429256992</v>
      </c>
      <c r="I26" s="41">
        <f t="shared" si="7"/>
        <v>0.2559655060926823</v>
      </c>
      <c r="J26" s="33"/>
      <c r="K26" s="31">
        <f t="shared" si="3"/>
        <v>2.321860266943117</v>
      </c>
      <c r="L26" s="42">
        <f t="shared" si="4"/>
        <v>5.988736290163458</v>
      </c>
    </row>
    <row r="27" spans="1:12" ht="12.75">
      <c r="A27" s="31">
        <v>0.74</v>
      </c>
      <c r="B27" s="30">
        <v>0.24844</v>
      </c>
      <c r="C27" s="31">
        <f t="shared" si="0"/>
        <v>7.402742772675168</v>
      </c>
      <c r="D27" s="31">
        <f t="shared" si="0"/>
        <v>2.4853208303289445</v>
      </c>
      <c r="E27" s="31">
        <f t="shared" si="1"/>
        <v>4.970641660657889</v>
      </c>
      <c r="F27" s="31">
        <f t="shared" si="2"/>
        <v>187.38921409347387</v>
      </c>
      <c r="G27" s="31">
        <f t="shared" si="5"/>
        <v>15.615767841122823</v>
      </c>
      <c r="H27" s="31">
        <f t="shared" si="6"/>
        <v>15.865767841122823</v>
      </c>
      <c r="I27" s="41">
        <f t="shared" si="7"/>
        <v>0.2724920942779986</v>
      </c>
      <c r="J27" s="33"/>
      <c r="K27" s="31">
        <f t="shared" si="3"/>
        <v>2.4853208303289445</v>
      </c>
      <c r="L27" s="42">
        <f t="shared" si="4"/>
        <v>5.873366011021975</v>
      </c>
    </row>
    <row r="28" spans="1:12" ht="12.75">
      <c r="A28" s="31">
        <v>0.72</v>
      </c>
      <c r="B28" s="30">
        <v>0.26364</v>
      </c>
      <c r="C28" s="31">
        <f t="shared" si="0"/>
        <v>7.202668643683947</v>
      </c>
      <c r="D28" s="31">
        <f t="shared" si="0"/>
        <v>2.637377168362272</v>
      </c>
      <c r="E28" s="31">
        <f t="shared" si="1"/>
        <v>5.274754336724544</v>
      </c>
      <c r="F28" s="31">
        <f t="shared" si="2"/>
        <v>198.85401869104592</v>
      </c>
      <c r="G28" s="31">
        <f t="shared" si="5"/>
        <v>16.571168224253828</v>
      </c>
      <c r="H28" s="31">
        <f t="shared" si="6"/>
        <v>16.821168224253828</v>
      </c>
      <c r="I28" s="41">
        <f t="shared" si="7"/>
        <v>0.28772443158133226</v>
      </c>
      <c r="J28" s="33"/>
      <c r="K28" s="31">
        <f t="shared" si="3"/>
        <v>2.637377168362272</v>
      </c>
      <c r="L28" s="42">
        <f t="shared" si="4"/>
        <v>5.743333218406073</v>
      </c>
    </row>
    <row r="29" spans="1:12" ht="12.75">
      <c r="A29" s="31">
        <v>0.7</v>
      </c>
      <c r="B29" s="30">
        <v>0.27751</v>
      </c>
      <c r="C29" s="31">
        <f t="shared" si="0"/>
        <v>7.002594514692726</v>
      </c>
      <c r="D29" s="31">
        <f t="shared" si="0"/>
        <v>2.7761285768176838</v>
      </c>
      <c r="E29" s="31">
        <f t="shared" si="1"/>
        <v>5.5522571536353675</v>
      </c>
      <c r="F29" s="31">
        <f t="shared" si="2"/>
        <v>209.31565288633047</v>
      </c>
      <c r="G29" s="31">
        <f t="shared" si="5"/>
        <v>17.44297107386087</v>
      </c>
      <c r="H29" s="31">
        <f t="shared" si="6"/>
        <v>17.69297107386087</v>
      </c>
      <c r="I29" s="41">
        <f t="shared" si="7"/>
        <v>0.3014791221287155</v>
      </c>
      <c r="J29" s="33"/>
      <c r="K29" s="31">
        <f t="shared" si="3"/>
        <v>2.7761285768176838</v>
      </c>
      <c r="L29" s="42">
        <f t="shared" si="4"/>
        <v>5.599188486475851</v>
      </c>
    </row>
    <row r="30" spans="1:12" ht="12.75">
      <c r="A30" s="31">
        <v>0.68</v>
      </c>
      <c r="B30" s="30">
        <v>0.28989</v>
      </c>
      <c r="C30" s="31">
        <f aca="true" t="shared" si="8" ref="C30:D45">$G$4*A30</f>
        <v>6.802520385701507</v>
      </c>
      <c r="D30" s="31">
        <f t="shared" si="8"/>
        <v>2.8999744626632493</v>
      </c>
      <c r="E30" s="31">
        <f aca="true" t="shared" si="9" ref="E30:E45">D30*2</f>
        <v>5.799948925326499</v>
      </c>
      <c r="F30" s="31">
        <f aca="true" t="shared" si="10" ref="F30:F45">E30*12*3.1416</f>
        <v>218.65343452566876</v>
      </c>
      <c r="G30" s="31">
        <f t="shared" si="5"/>
        <v>18.22111954380573</v>
      </c>
      <c r="H30" s="31">
        <f t="shared" si="6"/>
        <v>18.47111954380573</v>
      </c>
      <c r="I30" s="41">
        <f t="shared" si="7"/>
        <v>0.3135989694567577</v>
      </c>
      <c r="J30" s="33"/>
      <c r="K30" s="31">
        <f t="shared" si="3"/>
        <v>2.8999744626632493</v>
      </c>
      <c r="L30" s="42">
        <f aca="true" t="shared" si="11" ref="L30:L45">L31+SQRT(ABS((C30-C31)^2-(D30-D31)^2))</f>
        <v>5.442052069147715</v>
      </c>
    </row>
    <row r="31" spans="1:12" ht="12.75">
      <c r="A31" s="31">
        <v>0.66</v>
      </c>
      <c r="B31" s="30">
        <v>0.30064</v>
      </c>
      <c r="C31" s="31">
        <f t="shared" si="8"/>
        <v>6.6024462567102855</v>
      </c>
      <c r="D31" s="31">
        <f t="shared" si="8"/>
        <v>3.007514306996031</v>
      </c>
      <c r="E31" s="31">
        <f t="shared" si="9"/>
        <v>6.015028613992062</v>
      </c>
      <c r="F31" s="31">
        <f t="shared" si="10"/>
        <v>226.76176672460952</v>
      </c>
      <c r="G31" s="31">
        <f aca="true" t="shared" si="12" ref="G31:G46">F31/$C$5</f>
        <v>18.89681389371746</v>
      </c>
      <c r="H31" s="31">
        <f aca="true" t="shared" si="13" ref="H31:H46">G31+$C$4</f>
        <v>19.14681389371746</v>
      </c>
      <c r="I31" s="41">
        <f aca="true" t="shared" si="14" ref="I31:I46">ABS(C31-C32)*H32/12-ABS(C31-C32)*(H32-H31)/24</f>
        <v>0.3239372568662786</v>
      </c>
      <c r="J31" s="33"/>
      <c r="K31" s="31">
        <f t="shared" si="3"/>
        <v>3.007514306996031</v>
      </c>
      <c r="L31" s="42">
        <f t="shared" si="11"/>
        <v>5.2733368091014565</v>
      </c>
    </row>
    <row r="32" spans="1:12" ht="12.75">
      <c r="A32" s="31">
        <v>0.64</v>
      </c>
      <c r="B32" s="30">
        <v>0.30962</v>
      </c>
      <c r="C32" s="31">
        <f t="shared" si="8"/>
        <v>6.402372127719064</v>
      </c>
      <c r="D32" s="31">
        <f t="shared" si="8"/>
        <v>3.0973475909130888</v>
      </c>
      <c r="E32" s="31">
        <f t="shared" si="9"/>
        <v>6.1946951818261775</v>
      </c>
      <c r="F32" s="31">
        <f t="shared" si="10"/>
        <v>233.53505259870144</v>
      </c>
      <c r="G32" s="31">
        <f t="shared" si="12"/>
        <v>19.46125438322512</v>
      </c>
      <c r="H32" s="31">
        <f t="shared" si="13"/>
        <v>19.71125438322512</v>
      </c>
      <c r="I32" s="41">
        <f t="shared" si="14"/>
        <v>0.3323891867150137</v>
      </c>
      <c r="J32" s="33"/>
      <c r="K32" s="31">
        <f t="shared" si="3"/>
        <v>3.0973475909130888</v>
      </c>
      <c r="L32" s="42">
        <f t="shared" si="11"/>
        <v>5.094564221179613</v>
      </c>
    </row>
    <row r="33" spans="1:12" ht="12.75">
      <c r="A33" s="31">
        <v>0.62</v>
      </c>
      <c r="B33" s="30">
        <v>0.31677</v>
      </c>
      <c r="C33" s="31">
        <f t="shared" si="8"/>
        <v>6.202297998727844</v>
      </c>
      <c r="D33" s="31">
        <f t="shared" si="8"/>
        <v>3.1688740920274503</v>
      </c>
      <c r="E33" s="31">
        <f t="shared" si="9"/>
        <v>6.337748184054901</v>
      </c>
      <c r="F33" s="31">
        <f t="shared" si="10"/>
        <v>238.92803634032248</v>
      </c>
      <c r="G33" s="31">
        <f t="shared" si="12"/>
        <v>19.910669695026872</v>
      </c>
      <c r="H33" s="31">
        <f t="shared" si="13"/>
        <v>20.160669695026872</v>
      </c>
      <c r="I33" s="41">
        <f t="shared" si="14"/>
        <v>0.3388918804176079</v>
      </c>
      <c r="J33" s="33"/>
      <c r="K33" s="31">
        <f t="shared" si="3"/>
        <v>3.1688740920274503</v>
      </c>
      <c r="L33" s="42">
        <f t="shared" si="11"/>
        <v>4.907712363468932</v>
      </c>
    </row>
    <row r="34" spans="1:12" ht="12.75">
      <c r="A34" s="31">
        <v>0.6</v>
      </c>
      <c r="B34" s="30">
        <v>0.32203</v>
      </c>
      <c r="C34" s="31">
        <f t="shared" si="8"/>
        <v>6.002223869736623</v>
      </c>
      <c r="D34" s="31">
        <f t="shared" si="8"/>
        <v>3.221493587952141</v>
      </c>
      <c r="E34" s="31">
        <f t="shared" si="9"/>
        <v>6.442987175904282</v>
      </c>
      <c r="F34" s="31">
        <f t="shared" si="10"/>
        <v>242.8954621418507</v>
      </c>
      <c r="G34" s="31">
        <f t="shared" si="12"/>
        <v>20.24128851182089</v>
      </c>
      <c r="H34" s="31">
        <f t="shared" si="13"/>
        <v>20.49128851182089</v>
      </c>
      <c r="I34" s="41">
        <f t="shared" si="14"/>
        <v>0.34341389868137706</v>
      </c>
      <c r="J34" s="33"/>
      <c r="K34" s="31">
        <f t="shared" si="3"/>
        <v>3.221493587952141</v>
      </c>
      <c r="L34" s="42">
        <f t="shared" si="11"/>
        <v>4.714681677462206</v>
      </c>
    </row>
    <row r="35" spans="1:12" ht="12.75">
      <c r="A35" s="31">
        <v>0.58</v>
      </c>
      <c r="B35" s="30">
        <v>0.3254</v>
      </c>
      <c r="C35" s="31">
        <f t="shared" si="8"/>
        <v>5.802149740745402</v>
      </c>
      <c r="D35" s="31">
        <f t="shared" si="8"/>
        <v>3.255206078687162</v>
      </c>
      <c r="E35" s="31">
        <f t="shared" si="9"/>
        <v>6.510412157374324</v>
      </c>
      <c r="F35" s="31">
        <f t="shared" si="10"/>
        <v>245.4373300032861</v>
      </c>
      <c r="G35" s="31">
        <f t="shared" si="12"/>
        <v>20.453110833607173</v>
      </c>
      <c r="H35" s="31">
        <f t="shared" si="13"/>
        <v>20.703110833607173</v>
      </c>
      <c r="I35" s="41">
        <f t="shared" si="14"/>
        <v>0.34597096115266096</v>
      </c>
      <c r="J35" s="33"/>
      <c r="K35" s="31">
        <f t="shared" si="3"/>
        <v>3.255206078687162</v>
      </c>
      <c r="L35" s="42">
        <f t="shared" si="11"/>
        <v>4.517468277663823</v>
      </c>
    </row>
    <row r="36" spans="1:12" ht="12.75">
      <c r="A36" s="31">
        <v>0.56</v>
      </c>
      <c r="B36" s="30">
        <v>0.32691</v>
      </c>
      <c r="C36" s="31">
        <f t="shared" si="8"/>
        <v>5.602075611754182</v>
      </c>
      <c r="D36" s="31">
        <f t="shared" si="8"/>
        <v>3.2703116754259987</v>
      </c>
      <c r="E36" s="31">
        <f t="shared" si="9"/>
        <v>6.540623350851997</v>
      </c>
      <c r="F36" s="31">
        <f t="shared" si="10"/>
        <v>246.5762678284396</v>
      </c>
      <c r="G36" s="31">
        <f t="shared" si="12"/>
        <v>20.548022319036633</v>
      </c>
      <c r="H36" s="31">
        <f t="shared" si="13"/>
        <v>20.798022319036633</v>
      </c>
      <c r="I36" s="41">
        <f t="shared" si="14"/>
        <v>0.3466102267704823</v>
      </c>
      <c r="J36" s="33"/>
      <c r="K36" s="31">
        <f t="shared" si="3"/>
        <v>3.2703116754259987</v>
      </c>
      <c r="L36" s="42">
        <f t="shared" si="11"/>
        <v>4.317965199896188</v>
      </c>
    </row>
    <row r="37" spans="1:12" ht="12.75">
      <c r="A37" s="31">
        <v>0.54</v>
      </c>
      <c r="B37" s="30">
        <v>0.32662</v>
      </c>
      <c r="C37" s="31">
        <f t="shared" si="8"/>
        <v>5.402001482762961</v>
      </c>
      <c r="D37" s="31">
        <f t="shared" si="8"/>
        <v>3.2674106005556265</v>
      </c>
      <c r="E37" s="31">
        <f t="shared" si="9"/>
        <v>6.534821201111253</v>
      </c>
      <c r="F37" s="31">
        <f t="shared" si="10"/>
        <v>246.35753142493334</v>
      </c>
      <c r="G37" s="31">
        <f t="shared" si="12"/>
        <v>20.52979428541111</v>
      </c>
      <c r="H37" s="31">
        <f t="shared" si="13"/>
        <v>20.77979428541111</v>
      </c>
      <c r="I37" s="41">
        <f t="shared" si="14"/>
        <v>0.34540505388442727</v>
      </c>
      <c r="J37" s="33"/>
      <c r="K37" s="31">
        <f t="shared" si="3"/>
        <v>3.2674106005556265</v>
      </c>
      <c r="L37" s="42">
        <f t="shared" si="11"/>
        <v>4.11791210480343</v>
      </c>
    </row>
    <row r="38" spans="1:12" ht="12.75">
      <c r="A38" s="31">
        <v>0.52</v>
      </c>
      <c r="B38" s="30">
        <v>0.32461</v>
      </c>
      <c r="C38" s="31">
        <f t="shared" si="8"/>
        <v>5.20192735377174</v>
      </c>
      <c r="D38" s="31">
        <f t="shared" si="8"/>
        <v>3.2473031505920087</v>
      </c>
      <c r="E38" s="31">
        <f t="shared" si="9"/>
        <v>6.494606301184017</v>
      </c>
      <c r="F38" s="31">
        <f t="shared" si="10"/>
        <v>244.84146186959651</v>
      </c>
      <c r="G38" s="31">
        <f t="shared" si="12"/>
        <v>20.40345515579971</v>
      </c>
      <c r="H38" s="31">
        <f t="shared" si="13"/>
        <v>20.65345515579971</v>
      </c>
      <c r="I38" s="41">
        <f t="shared" si="14"/>
        <v>0.34246024013675835</v>
      </c>
      <c r="J38" s="33"/>
      <c r="K38" s="31">
        <f t="shared" si="3"/>
        <v>3.2473031505920087</v>
      </c>
      <c r="L38" s="42">
        <f t="shared" si="11"/>
        <v>3.918850939460824</v>
      </c>
    </row>
    <row r="39" spans="1:12" ht="12.75">
      <c r="A39" s="31">
        <v>0.5</v>
      </c>
      <c r="B39" s="30">
        <v>0.321</v>
      </c>
      <c r="C39" s="31">
        <f t="shared" si="8"/>
        <v>5.001853224780519</v>
      </c>
      <c r="D39" s="31">
        <f t="shared" si="8"/>
        <v>3.2111897703090935</v>
      </c>
      <c r="E39" s="31">
        <f t="shared" si="9"/>
        <v>6.422379540618187</v>
      </c>
      <c r="F39" s="31">
        <f t="shared" si="10"/>
        <v>242.11857077767314</v>
      </c>
      <c r="G39" s="31">
        <f t="shared" si="12"/>
        <v>20.176547564806096</v>
      </c>
      <c r="H39" s="31">
        <f t="shared" si="13"/>
        <v>20.426547564806096</v>
      </c>
      <c r="I39" s="41">
        <f t="shared" si="14"/>
        <v>0.3379015426981961</v>
      </c>
      <c r="J39" s="33"/>
      <c r="K39" s="31">
        <f t="shared" si="3"/>
        <v>3.2111897703090935</v>
      </c>
      <c r="L39" s="42">
        <f t="shared" si="11"/>
        <v>3.7220630311530796</v>
      </c>
    </row>
    <row r="40" spans="1:12" ht="12.75">
      <c r="A40" s="31">
        <v>0.48</v>
      </c>
      <c r="B40" s="30">
        <v>0.31591</v>
      </c>
      <c r="C40" s="31">
        <f t="shared" si="8"/>
        <v>4.801779095789298</v>
      </c>
      <c r="D40" s="31">
        <f t="shared" si="8"/>
        <v>3.1602709044808277</v>
      </c>
      <c r="E40" s="31">
        <f t="shared" si="9"/>
        <v>6.320541808961655</v>
      </c>
      <c r="F40" s="31">
        <f t="shared" si="10"/>
        <v>238.27936976440722</v>
      </c>
      <c r="G40" s="31">
        <f t="shared" si="12"/>
        <v>19.856614147033934</v>
      </c>
      <c r="H40" s="31">
        <f t="shared" si="13"/>
        <v>20.106614147033934</v>
      </c>
      <c r="I40" s="41">
        <f t="shared" si="14"/>
        <v>0.33184947885734484</v>
      </c>
      <c r="J40" s="33"/>
      <c r="K40" s="31">
        <f t="shared" si="3"/>
        <v>3.1602709044808277</v>
      </c>
      <c r="L40" s="42">
        <f t="shared" si="11"/>
        <v>3.528576788245841</v>
      </c>
    </row>
    <row r="41" spans="1:12" ht="12.75">
      <c r="A41" s="31">
        <v>0.46</v>
      </c>
      <c r="B41" s="30">
        <v>0.30945</v>
      </c>
      <c r="C41" s="31">
        <f t="shared" si="8"/>
        <v>4.601704966798078</v>
      </c>
      <c r="D41" s="31">
        <f t="shared" si="8"/>
        <v>3.0956469608166635</v>
      </c>
      <c r="E41" s="31">
        <f t="shared" si="9"/>
        <v>6.191293921633327</v>
      </c>
      <c r="F41" s="31">
        <f t="shared" si="10"/>
        <v>233.4068278104391</v>
      </c>
      <c r="G41" s="31">
        <f t="shared" si="12"/>
        <v>19.450568984203258</v>
      </c>
      <c r="H41" s="31">
        <f t="shared" si="13"/>
        <v>19.700568984203258</v>
      </c>
      <c r="I41" s="41">
        <f t="shared" si="14"/>
        <v>0.32442980578492786</v>
      </c>
      <c r="J41" s="33"/>
      <c r="K41" s="31">
        <f t="shared" si="3"/>
        <v>3.0956469608166635</v>
      </c>
      <c r="L41" s="42">
        <f t="shared" si="11"/>
        <v>3.3392268397460163</v>
      </c>
    </row>
    <row r="42" spans="1:12" ht="12.75">
      <c r="A42" s="31">
        <v>0.44</v>
      </c>
      <c r="B42" s="30">
        <v>0.30175</v>
      </c>
      <c r="C42" s="31">
        <f t="shared" si="8"/>
        <v>4.401630837806857</v>
      </c>
      <c r="D42" s="31">
        <f t="shared" si="8"/>
        <v>3.0186184211550433</v>
      </c>
      <c r="E42" s="31">
        <f t="shared" si="9"/>
        <v>6.037236842310087</v>
      </c>
      <c r="F42" s="31">
        <f t="shared" si="10"/>
        <v>227.59899916561642</v>
      </c>
      <c r="G42" s="31">
        <f t="shared" si="12"/>
        <v>18.96658326380137</v>
      </c>
      <c r="H42" s="31">
        <f t="shared" si="13"/>
        <v>19.21658326380137</v>
      </c>
      <c r="I42" s="41">
        <f t="shared" si="14"/>
        <v>0.3157840002979996</v>
      </c>
      <c r="J42" s="33"/>
      <c r="K42" s="31">
        <f t="shared" si="3"/>
        <v>3.0186184211550433</v>
      </c>
      <c r="L42" s="42">
        <f t="shared" si="11"/>
        <v>3.1545751103493114</v>
      </c>
    </row>
    <row r="43" spans="1:12" ht="12.75">
      <c r="A43" s="31">
        <v>0.42</v>
      </c>
      <c r="B43" s="30">
        <v>0.29295</v>
      </c>
      <c r="C43" s="31">
        <f t="shared" si="8"/>
        <v>4.201556708815636</v>
      </c>
      <c r="D43" s="31">
        <f t="shared" si="8"/>
        <v>2.930585804398906</v>
      </c>
      <c r="E43" s="31">
        <f t="shared" si="9"/>
        <v>5.861171608797812</v>
      </c>
      <c r="F43" s="31">
        <f t="shared" si="10"/>
        <v>220.9614807143905</v>
      </c>
      <c r="G43" s="31">
        <f t="shared" si="12"/>
        <v>18.413456726199207</v>
      </c>
      <c r="H43" s="31">
        <f t="shared" si="13"/>
        <v>18.663456726199207</v>
      </c>
      <c r="I43" s="41">
        <f t="shared" si="14"/>
        <v>0.3060430594494005</v>
      </c>
      <c r="J43" s="33"/>
      <c r="K43" s="31">
        <f t="shared" si="3"/>
        <v>2.930585804398906</v>
      </c>
      <c r="L43" s="42">
        <f t="shared" si="11"/>
        <v>2.974908988115144</v>
      </c>
    </row>
    <row r="44" spans="1:12" ht="12.75">
      <c r="A44" s="31">
        <v>0.39999999999999947</v>
      </c>
      <c r="B44" s="30">
        <v>0.28316</v>
      </c>
      <c r="C44" s="31">
        <f t="shared" si="8"/>
        <v>4.00148257982441</v>
      </c>
      <c r="D44" s="31">
        <f t="shared" si="8"/>
        <v>2.832649518257704</v>
      </c>
      <c r="E44" s="31">
        <f t="shared" si="9"/>
        <v>5.665299036515408</v>
      </c>
      <c r="F44" s="31">
        <f t="shared" si="10"/>
        <v>213.57724143740165</v>
      </c>
      <c r="G44" s="31">
        <f t="shared" si="12"/>
        <v>17.798103453116806</v>
      </c>
      <c r="H44" s="31">
        <f t="shared" si="13"/>
        <v>18.048103453116806</v>
      </c>
      <c r="I44" s="41">
        <f t="shared" si="14"/>
        <v>0.29533274040982915</v>
      </c>
      <c r="J44" s="33"/>
      <c r="K44" s="31">
        <f t="shared" si="3"/>
        <v>2.832649518257704</v>
      </c>
      <c r="L44" s="42">
        <f t="shared" si="11"/>
        <v>2.8004436879879666</v>
      </c>
    </row>
    <row r="45" spans="1:12" ht="12.75">
      <c r="A45" s="31">
        <v>0.37999999999999945</v>
      </c>
      <c r="B45" s="30">
        <v>0.27251</v>
      </c>
      <c r="C45" s="31">
        <f t="shared" si="8"/>
        <v>3.801408450833189</v>
      </c>
      <c r="D45" s="31">
        <f t="shared" si="8"/>
        <v>2.7261100445698783</v>
      </c>
      <c r="E45" s="31">
        <f t="shared" si="9"/>
        <v>5.4522200891397565</v>
      </c>
      <c r="F45" s="31">
        <f t="shared" si="10"/>
        <v>205.5443355844975</v>
      </c>
      <c r="G45" s="31">
        <f t="shared" si="12"/>
        <v>17.12869463204146</v>
      </c>
      <c r="H45" s="31">
        <f t="shared" si="13"/>
        <v>17.37869463204146</v>
      </c>
      <c r="I45" s="41">
        <f t="shared" si="14"/>
        <v>0.28376832058579776</v>
      </c>
      <c r="J45" s="33"/>
      <c r="K45" s="31">
        <f t="shared" si="3"/>
        <v>2.7261100445698783</v>
      </c>
      <c r="L45" s="42">
        <f t="shared" si="11"/>
        <v>2.6310949423831738</v>
      </c>
    </row>
    <row r="46" spans="1:12" ht="12.75">
      <c r="A46" s="31">
        <v>0.35999999999999943</v>
      </c>
      <c r="B46" s="30">
        <v>0.26109</v>
      </c>
      <c r="C46" s="31">
        <f aca="true" t="shared" si="15" ref="C46:D61">$G$4*A46</f>
        <v>3.6013343218419682</v>
      </c>
      <c r="D46" s="31">
        <f t="shared" si="15"/>
        <v>2.6118677169158913</v>
      </c>
      <c r="E46" s="31">
        <f aca="true" t="shared" si="16" ref="E46:E61">D46*2</f>
        <v>5.2237354338317825</v>
      </c>
      <c r="F46" s="31">
        <f aca="true" t="shared" si="17" ref="F46:F61">E46*12*3.1416</f>
        <v>196.93064686711114</v>
      </c>
      <c r="G46" s="31">
        <f t="shared" si="12"/>
        <v>16.410887238925927</v>
      </c>
      <c r="H46" s="31">
        <f t="shared" si="13"/>
        <v>16.660887238925927</v>
      </c>
      <c r="I46" s="41">
        <f t="shared" si="14"/>
        <v>0.2714493577374539</v>
      </c>
      <c r="J46" s="33"/>
      <c r="K46" s="31">
        <f aca="true" t="shared" si="18" ref="K46:K64">D46</f>
        <v>2.6118677169158913</v>
      </c>
      <c r="L46" s="42">
        <f aca="true" t="shared" si="19" ref="L46:L61">L47+SQRT(ABS((C46-C47)^2-(D46-D47)^2))</f>
        <v>2.466844074306945</v>
      </c>
    </row>
    <row r="47" spans="1:12" ht="12.75">
      <c r="A47" s="31">
        <v>0.3399999999999994</v>
      </c>
      <c r="B47" s="30">
        <v>0.249</v>
      </c>
      <c r="C47" s="31">
        <f t="shared" si="15"/>
        <v>3.401260192850747</v>
      </c>
      <c r="D47" s="31">
        <f t="shared" si="15"/>
        <v>2.4909229059406988</v>
      </c>
      <c r="E47" s="31">
        <f t="shared" si="16"/>
        <v>4.9818458118813975</v>
      </c>
      <c r="F47" s="31">
        <f t="shared" si="17"/>
        <v>187.8116016312792</v>
      </c>
      <c r="G47" s="31">
        <f aca="true" t="shared" si="20" ref="G47:G62">F47/$C$5</f>
        <v>15.650966802606598</v>
      </c>
      <c r="H47" s="31">
        <f aca="true" t="shared" si="21" ref="H47:H62">G47+$C$4</f>
        <v>15.900966802606598</v>
      </c>
      <c r="I47" s="41">
        <f aca="true" t="shared" si="22" ref="I47:I62">ABS(C47-C48)*H48/12-ABS(C47-C48)*(H48-H47)/24</f>
        <v>0.2584754096249476</v>
      </c>
      <c r="J47" s="33"/>
      <c r="K47" s="31">
        <f t="shared" si="18"/>
        <v>2.4909229059406988</v>
      </c>
      <c r="L47" s="42">
        <f t="shared" si="19"/>
        <v>2.307463994655281</v>
      </c>
    </row>
    <row r="48" spans="1:12" ht="12.75">
      <c r="A48" s="31">
        <v>0.3199999999999994</v>
      </c>
      <c r="B48" s="30">
        <v>0.23633</v>
      </c>
      <c r="C48" s="31">
        <f t="shared" si="15"/>
        <v>3.2011860638595264</v>
      </c>
      <c r="D48" s="31">
        <f t="shared" si="15"/>
        <v>2.36417594522476</v>
      </c>
      <c r="E48" s="31">
        <f t="shared" si="16"/>
        <v>4.72835189044952</v>
      </c>
      <c r="F48" s="31">
        <f t="shared" si="17"/>
        <v>178.25508358843456</v>
      </c>
      <c r="G48" s="31">
        <f t="shared" si="20"/>
        <v>14.854590299036213</v>
      </c>
      <c r="H48" s="31">
        <f t="shared" si="21"/>
        <v>15.104590299036213</v>
      </c>
      <c r="I48" s="41">
        <f t="shared" si="22"/>
        <v>0.2449407941263204</v>
      </c>
      <c r="J48" s="33"/>
      <c r="K48" s="31">
        <f t="shared" si="18"/>
        <v>2.36417594522476</v>
      </c>
      <c r="L48" s="42">
        <f t="shared" si="19"/>
        <v>2.1526580999326708</v>
      </c>
    </row>
    <row r="49" spans="1:12" ht="12.75">
      <c r="A49" s="31">
        <v>0.2999999999999994</v>
      </c>
      <c r="B49" s="30">
        <v>0.22317</v>
      </c>
      <c r="C49" s="31">
        <f t="shared" si="15"/>
        <v>3.0011119348683053</v>
      </c>
      <c r="D49" s="31">
        <f t="shared" si="15"/>
        <v>2.232527168348537</v>
      </c>
      <c r="E49" s="31">
        <f t="shared" si="16"/>
        <v>4.465054336697074</v>
      </c>
      <c r="F49" s="31">
        <f t="shared" si="17"/>
        <v>168.32897645001034</v>
      </c>
      <c r="G49" s="31">
        <f t="shared" si="20"/>
        <v>14.027414704167528</v>
      </c>
      <c r="H49" s="31">
        <f t="shared" si="21"/>
        <v>14.277414704167528</v>
      </c>
      <c r="I49" s="41">
        <f t="shared" si="22"/>
        <v>0.23092934935538323</v>
      </c>
      <c r="J49" s="33"/>
      <c r="K49" s="31">
        <f t="shared" si="18"/>
        <v>2.232527168348537</v>
      </c>
      <c r="L49" s="42">
        <f t="shared" si="19"/>
        <v>2.001998693858605</v>
      </c>
    </row>
    <row r="50" spans="1:12" ht="12.75">
      <c r="A50" s="31">
        <v>0.27999999999999936</v>
      </c>
      <c r="B50" s="30">
        <v>0.20959</v>
      </c>
      <c r="C50" s="31">
        <f t="shared" si="15"/>
        <v>2.801037805877084</v>
      </c>
      <c r="D50" s="31">
        <f t="shared" si="15"/>
        <v>2.096676834763498</v>
      </c>
      <c r="E50" s="31">
        <f t="shared" si="16"/>
        <v>4.193353669526996</v>
      </c>
      <c r="F50" s="31">
        <f t="shared" si="17"/>
        <v>158.0860786582321</v>
      </c>
      <c r="G50" s="31">
        <f t="shared" si="20"/>
        <v>13.17383988818601</v>
      </c>
      <c r="H50" s="31">
        <f t="shared" si="21"/>
        <v>13.42383988818601</v>
      </c>
      <c r="I50" s="41">
        <f t="shared" si="22"/>
        <v>0.21650395389749577</v>
      </c>
      <c r="J50" s="33"/>
      <c r="K50" s="31">
        <f t="shared" si="18"/>
        <v>2.096676834763498</v>
      </c>
      <c r="L50" s="42">
        <f t="shared" si="19"/>
        <v>1.855116618858184</v>
      </c>
    </row>
    <row r="51" spans="1:12" ht="12.75">
      <c r="A51" s="31">
        <v>0.25999999999999934</v>
      </c>
      <c r="B51" s="30">
        <v>0.19564</v>
      </c>
      <c r="C51" s="31">
        <f t="shared" si="15"/>
        <v>2.6009636768858635</v>
      </c>
      <c r="D51" s="31">
        <f t="shared" si="15"/>
        <v>1.9571251297921217</v>
      </c>
      <c r="E51" s="31">
        <f t="shared" si="16"/>
        <v>3.9142502595842434</v>
      </c>
      <c r="F51" s="31">
        <f t="shared" si="17"/>
        <v>147.56410338611832</v>
      </c>
      <c r="G51" s="31">
        <f t="shared" si="20"/>
        <v>12.29700861550986</v>
      </c>
      <c r="H51" s="31">
        <f t="shared" si="21"/>
        <v>12.54700861550986</v>
      </c>
      <c r="I51" s="41">
        <f t="shared" si="22"/>
        <v>0.20172748633801876</v>
      </c>
      <c r="J51" s="33"/>
      <c r="K51" s="31">
        <f t="shared" si="18"/>
        <v>1.9571251297921217</v>
      </c>
      <c r="L51" s="42">
        <f t="shared" si="19"/>
        <v>1.7117465427224101</v>
      </c>
    </row>
    <row r="52" spans="1:12" ht="12.75">
      <c r="A52" s="31">
        <v>0.23999999999999932</v>
      </c>
      <c r="B52" s="30">
        <v>0.18139</v>
      </c>
      <c r="C52" s="31">
        <f t="shared" si="15"/>
        <v>2.4008895478946424</v>
      </c>
      <c r="D52" s="31">
        <f t="shared" si="15"/>
        <v>1.8145723128858766</v>
      </c>
      <c r="E52" s="31">
        <f t="shared" si="16"/>
        <v>3.6291446257717532</v>
      </c>
      <c r="F52" s="31">
        <f t="shared" si="17"/>
        <v>136.81584907589448</v>
      </c>
      <c r="G52" s="31">
        <f t="shared" si="20"/>
        <v>11.40132075632454</v>
      </c>
      <c r="H52" s="31">
        <f t="shared" si="21"/>
        <v>11.65132075632454</v>
      </c>
      <c r="I52" s="41">
        <f t="shared" si="22"/>
        <v>0.18666282526230993</v>
      </c>
      <c r="J52" s="33"/>
      <c r="K52" s="31">
        <f t="shared" si="18"/>
        <v>1.8145723128858766</v>
      </c>
      <c r="L52" s="42">
        <f t="shared" si="19"/>
        <v>1.5713601064698635</v>
      </c>
    </row>
    <row r="53" spans="1:12" ht="12.75">
      <c r="A53" s="31">
        <v>0.2199999999999993</v>
      </c>
      <c r="B53" s="30">
        <v>0.16689</v>
      </c>
      <c r="C53" s="31">
        <f t="shared" si="15"/>
        <v>2.2008154189034217</v>
      </c>
      <c r="D53" s="31">
        <f t="shared" si="15"/>
        <v>1.6695185693672419</v>
      </c>
      <c r="E53" s="31">
        <f t="shared" si="16"/>
        <v>3.3390371387344837</v>
      </c>
      <c r="F53" s="31">
        <f t="shared" si="17"/>
        <v>125.87902890057906</v>
      </c>
      <c r="G53" s="31">
        <f t="shared" si="20"/>
        <v>10.489919075048254</v>
      </c>
      <c r="H53" s="31">
        <f t="shared" si="21"/>
        <v>10.739919075048254</v>
      </c>
      <c r="I53" s="41">
        <f t="shared" si="22"/>
        <v>0.17135712960939065</v>
      </c>
      <c r="J53" s="33"/>
      <c r="K53" s="31">
        <f t="shared" si="18"/>
        <v>1.6695185693672419</v>
      </c>
      <c r="L53" s="42">
        <f t="shared" si="19"/>
        <v>1.4335592770716856</v>
      </c>
    </row>
    <row r="54" spans="1:12" ht="12.75">
      <c r="A54" s="31">
        <v>0.1999999999999993</v>
      </c>
      <c r="B54" s="30">
        <v>0.15218</v>
      </c>
      <c r="C54" s="31">
        <f t="shared" si="15"/>
        <v>2.0007412899122006</v>
      </c>
      <c r="D54" s="31">
        <f t="shared" si="15"/>
        <v>1.5223640474941988</v>
      </c>
      <c r="E54" s="31">
        <f t="shared" si="16"/>
        <v>3.0447280949883977</v>
      </c>
      <c r="F54" s="31">
        <f t="shared" si="17"/>
        <v>114.78381339858662</v>
      </c>
      <c r="G54" s="31">
        <f t="shared" si="20"/>
        <v>9.565317783215551</v>
      </c>
      <c r="H54" s="31">
        <f t="shared" si="21"/>
        <v>9.815317783215551</v>
      </c>
      <c r="I54" s="41">
        <f t="shared" si="22"/>
        <v>0.1558523184361657</v>
      </c>
      <c r="J54" s="33"/>
      <c r="K54" s="31">
        <f t="shared" si="18"/>
        <v>1.5223640474941988</v>
      </c>
      <c r="L54" s="42">
        <f t="shared" si="19"/>
        <v>1.2980041082882272</v>
      </c>
    </row>
    <row r="55" spans="1:12" ht="12.75">
      <c r="A55" s="31">
        <v>0.17999999999999927</v>
      </c>
      <c r="B55" s="30">
        <v>0.1373</v>
      </c>
      <c r="C55" s="31">
        <f t="shared" si="15"/>
        <v>1.8006671609209797</v>
      </c>
      <c r="D55" s="31">
        <f t="shared" si="15"/>
        <v>1.3735088955247305</v>
      </c>
      <c r="E55" s="31">
        <f t="shared" si="16"/>
        <v>2.747017791049461</v>
      </c>
      <c r="F55" s="31">
        <f t="shared" si="17"/>
        <v>103.56037310833183</v>
      </c>
      <c r="G55" s="31">
        <f t="shared" si="20"/>
        <v>8.630031092360985</v>
      </c>
      <c r="H55" s="31">
        <f t="shared" si="21"/>
        <v>8.880031092360985</v>
      </c>
      <c r="I55" s="41">
        <f t="shared" si="22"/>
        <v>0.14018507091742896</v>
      </c>
      <c r="J55" s="33"/>
      <c r="K55" s="31">
        <f t="shared" si="18"/>
        <v>1.3735088955247305</v>
      </c>
      <c r="L55" s="42">
        <f t="shared" si="19"/>
        <v>1.1643186534932415</v>
      </c>
    </row>
    <row r="56" spans="1:12" ht="12.75">
      <c r="A56" s="31">
        <v>0.15999999999999925</v>
      </c>
      <c r="B56" s="30">
        <v>0.12228</v>
      </c>
      <c r="C56" s="31">
        <f t="shared" si="15"/>
        <v>1.6005930319297588</v>
      </c>
      <c r="D56" s="31">
        <f t="shared" si="15"/>
        <v>1.2232532246523238</v>
      </c>
      <c r="E56" s="31">
        <f t="shared" si="16"/>
        <v>2.4465064493046476</v>
      </c>
      <c r="F56" s="31">
        <f t="shared" si="17"/>
        <v>92.23133593362576</v>
      </c>
      <c r="G56" s="31">
        <f t="shared" si="20"/>
        <v>7.68594466113548</v>
      </c>
      <c r="H56" s="31">
        <f t="shared" si="21"/>
        <v>7.93594466113548</v>
      </c>
      <c r="I56" s="41">
        <f t="shared" si="22"/>
        <v>0.12439206622797341</v>
      </c>
      <c r="J56" s="33"/>
      <c r="K56" s="31">
        <f t="shared" si="18"/>
        <v>1.2232532246523238</v>
      </c>
      <c r="L56" s="42">
        <f t="shared" si="19"/>
        <v>1.0322092652489585</v>
      </c>
    </row>
    <row r="57" spans="1:12" ht="12.75">
      <c r="A57" s="31">
        <v>0.13999999999999924</v>
      </c>
      <c r="B57" s="30">
        <v>0.10716</v>
      </c>
      <c r="C57" s="31">
        <f t="shared" si="15"/>
        <v>1.4005189029385376</v>
      </c>
      <c r="D57" s="31">
        <f t="shared" si="15"/>
        <v>1.0719971831349608</v>
      </c>
      <c r="E57" s="31">
        <f t="shared" si="16"/>
        <v>2.1439943662699217</v>
      </c>
      <c r="F57" s="31">
        <f t="shared" si="17"/>
        <v>80.82687241288302</v>
      </c>
      <c r="G57" s="31">
        <f t="shared" si="20"/>
        <v>6.735572701073585</v>
      </c>
      <c r="H57" s="31">
        <f t="shared" si="21"/>
        <v>6.985572701073585</v>
      </c>
      <c r="I57" s="41">
        <f t="shared" si="22"/>
        <v>0.10849950377836509</v>
      </c>
      <c r="J57" s="33"/>
      <c r="K57" s="31">
        <f t="shared" si="18"/>
        <v>1.0719971831349608</v>
      </c>
      <c r="L57" s="42">
        <f t="shared" si="19"/>
        <v>0.9012464193876473</v>
      </c>
    </row>
    <row r="58" spans="1:12" ht="12.75">
      <c r="A58" s="31">
        <v>0.11999999999999922</v>
      </c>
      <c r="B58" s="30">
        <v>0.09195</v>
      </c>
      <c r="C58" s="31">
        <f t="shared" si="15"/>
        <v>1.2004447739473167</v>
      </c>
      <c r="D58" s="31">
        <f t="shared" si="15"/>
        <v>0.9198408080371375</v>
      </c>
      <c r="E58" s="31">
        <f t="shared" si="16"/>
        <v>1.839681616074275</v>
      </c>
      <c r="F58" s="31">
        <f t="shared" si="17"/>
        <v>69.35452518070731</v>
      </c>
      <c r="G58" s="31">
        <f t="shared" si="20"/>
        <v>5.779543765058943</v>
      </c>
      <c r="H58" s="31">
        <f t="shared" si="21"/>
        <v>6.029543765058943</v>
      </c>
      <c r="I58" s="41">
        <f t="shared" si="22"/>
        <v>0.09253358297917087</v>
      </c>
      <c r="J58" s="33"/>
      <c r="K58" s="31">
        <f t="shared" si="18"/>
        <v>0.9198408080371375</v>
      </c>
      <c r="L58" s="42">
        <f t="shared" si="19"/>
        <v>0.7713306982116241</v>
      </c>
    </row>
    <row r="59" spans="1:12" ht="12.75">
      <c r="A59" s="31">
        <v>0.0999999999999992</v>
      </c>
      <c r="B59" s="30">
        <v>0.07669</v>
      </c>
      <c r="C59" s="31">
        <f t="shared" si="15"/>
        <v>1.0003706449560958</v>
      </c>
      <c r="D59" s="31">
        <f t="shared" si="15"/>
        <v>0.767184247616836</v>
      </c>
      <c r="E59" s="31">
        <f t="shared" si="16"/>
        <v>1.534368495233672</v>
      </c>
      <c r="F59" s="31">
        <f t="shared" si="17"/>
        <v>57.84446477551325</v>
      </c>
      <c r="G59" s="31">
        <f t="shared" si="20"/>
        <v>4.820372064626104</v>
      </c>
      <c r="H59" s="31">
        <f t="shared" si="21"/>
        <v>5.070372064626104</v>
      </c>
      <c r="I59" s="41">
        <f t="shared" si="22"/>
        <v>0.0765152633588437</v>
      </c>
      <c r="J59" s="33"/>
      <c r="K59" s="31">
        <f t="shared" si="18"/>
        <v>0.767184247616836</v>
      </c>
      <c r="L59" s="42">
        <f t="shared" si="19"/>
        <v>0.6420030845622626</v>
      </c>
    </row>
    <row r="60" spans="1:12" ht="12.75">
      <c r="A60" s="31">
        <v>0.07999999999999918</v>
      </c>
      <c r="B60" s="30">
        <v>0.06138</v>
      </c>
      <c r="C60" s="31">
        <f t="shared" si="15"/>
        <v>0.8002965159648749</v>
      </c>
      <c r="D60" s="31">
        <f t="shared" si="15"/>
        <v>0.6140275018740565</v>
      </c>
      <c r="E60" s="31">
        <f t="shared" si="16"/>
        <v>1.228055003748113</v>
      </c>
      <c r="F60" s="31">
        <f t="shared" si="17"/>
        <v>46.29669119730086</v>
      </c>
      <c r="G60" s="31">
        <f t="shared" si="20"/>
        <v>3.8580575997750715</v>
      </c>
      <c r="H60" s="31">
        <f t="shared" si="21"/>
        <v>4.108057599775071</v>
      </c>
      <c r="I60" s="41">
        <f t="shared" si="22"/>
        <v>0.060460264563723574</v>
      </c>
      <c r="J60" s="33"/>
      <c r="K60" s="31">
        <f t="shared" si="18"/>
        <v>0.6140275018740565</v>
      </c>
      <c r="L60" s="42">
        <f t="shared" si="19"/>
        <v>0.5132682084599519</v>
      </c>
    </row>
    <row r="61" spans="1:12" ht="12.75">
      <c r="A61" s="31">
        <v>0.059999999999999165</v>
      </c>
      <c r="B61" s="30">
        <v>0.04605</v>
      </c>
      <c r="C61" s="31">
        <f t="shared" si="15"/>
        <v>0.6002223869736539</v>
      </c>
      <c r="D61" s="31">
        <f t="shared" si="15"/>
        <v>0.46067068200228584</v>
      </c>
      <c r="E61" s="31">
        <f t="shared" si="16"/>
        <v>0.9213413640045717</v>
      </c>
      <c r="F61" s="31">
        <f t="shared" si="17"/>
        <v>34.73383234988115</v>
      </c>
      <c r="G61" s="31">
        <f t="shared" si="20"/>
        <v>2.8944860291567625</v>
      </c>
      <c r="H61" s="31">
        <f t="shared" si="21"/>
        <v>3.1444860291567625</v>
      </c>
      <c r="I61" s="41">
        <f t="shared" si="22"/>
        <v>0.044389546122263514</v>
      </c>
      <c r="J61" s="33"/>
      <c r="K61" s="31">
        <f t="shared" si="18"/>
        <v>0.46067068200228584</v>
      </c>
      <c r="L61" s="42">
        <f t="shared" si="19"/>
        <v>0.38477173811771637</v>
      </c>
    </row>
    <row r="62" spans="1:12" ht="12.75">
      <c r="A62" s="31">
        <v>0.03999999999999915</v>
      </c>
      <c r="B62" s="30">
        <v>0.03071</v>
      </c>
      <c r="C62" s="31">
        <f aca="true" t="shared" si="23" ref="C62:D64">$G$4*A62</f>
        <v>0.40014825798243303</v>
      </c>
      <c r="D62" s="31">
        <f t="shared" si="23"/>
        <v>0.3072138250660195</v>
      </c>
      <c r="E62" s="31">
        <f>D62*2</f>
        <v>0.614427650132039</v>
      </c>
      <c r="F62" s="31">
        <f>E62*12*3.1416</f>
        <v>23.163430867857766</v>
      </c>
      <c r="G62" s="31">
        <f t="shared" si="20"/>
        <v>1.9302859056548138</v>
      </c>
      <c r="H62" s="31">
        <f t="shared" si="21"/>
        <v>2.180285905654814</v>
      </c>
      <c r="I62" s="41">
        <f t="shared" si="22"/>
        <v>0.028303108034463606</v>
      </c>
      <c r="J62" s="33"/>
      <c r="K62" s="31">
        <f t="shared" si="18"/>
        <v>0.3072138250660195</v>
      </c>
      <c r="L62" s="42">
        <f>L63+SQRT(ABS((C62-C63)^2-(D62-D63)^2))</f>
        <v>0.25639475361177777</v>
      </c>
    </row>
    <row r="63" spans="1:12" ht="12.75">
      <c r="A63" s="31">
        <v>0.01999999999999913</v>
      </c>
      <c r="B63" s="30">
        <v>0.01535</v>
      </c>
      <c r="C63" s="31">
        <f t="shared" si="23"/>
        <v>0.20007412899121205</v>
      </c>
      <c r="D63" s="31">
        <f t="shared" si="23"/>
        <v>0.15355689400076195</v>
      </c>
      <c r="E63" s="31">
        <f>D63*2</f>
        <v>0.3071137880015239</v>
      </c>
      <c r="F63" s="31">
        <f>E63*12*3.1416</f>
        <v>11.57794411662705</v>
      </c>
      <c r="G63" s="31">
        <f>F63/$C$5</f>
        <v>0.9648286763855874</v>
      </c>
      <c r="H63" s="31">
        <f>G63+$C$4</f>
        <v>1.2148286763855873</v>
      </c>
      <c r="I63" s="41">
        <f>ABS(C63-C64)*H64/12-ABS(C63-C64)*(H64-H63)/24</f>
        <v>0.012211430064550392</v>
      </c>
      <c r="J63" s="33"/>
      <c r="K63" s="31">
        <f t="shared" si="18"/>
        <v>0.15355689400076195</v>
      </c>
      <c r="L63" s="42">
        <f>L64+SQRT(ABS((C63-C64)^2-(D63-D64)^2))</f>
        <v>0.12825730932946658</v>
      </c>
    </row>
    <row r="64" spans="1:12" ht="12.75">
      <c r="A64" s="31">
        <v>-8.881784197001252E-16</v>
      </c>
      <c r="B64" s="30">
        <v>0</v>
      </c>
      <c r="C64" s="31">
        <f t="shared" si="23"/>
        <v>-8.885076185515074E-15</v>
      </c>
      <c r="D64" s="31">
        <f t="shared" si="23"/>
        <v>0</v>
      </c>
      <c r="E64" s="31">
        <f>D64*2</f>
        <v>0</v>
      </c>
      <c r="F64" s="31">
        <f>E64*12*3.1416</f>
        <v>0</v>
      </c>
      <c r="G64" s="31">
        <f>F64/$C$5</f>
        <v>0</v>
      </c>
      <c r="H64" s="31">
        <f>G64+$C$4</f>
        <v>0.25</v>
      </c>
      <c r="I64" s="41">
        <f>ABS(C64-C65)*H65/12-ABS(C64-C65)*(H65-H64)/24</f>
        <v>9.255287693244868E-17</v>
      </c>
      <c r="J64" s="33"/>
      <c r="K64" s="31">
        <f t="shared" si="18"/>
        <v>0</v>
      </c>
      <c r="L64" s="33">
        <v>0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O1">
      <selection activeCell="D12" sqref="D12"/>
    </sheetView>
  </sheetViews>
  <sheetFormatPr defaultColWidth="9.140625" defaultRowHeight="12.75"/>
  <cols>
    <col min="3" max="3" width="10.00390625" style="0" customWidth="1"/>
    <col min="7" max="7" width="11.8515625" style="0" customWidth="1"/>
    <col min="16" max="16" width="21.421875" style="0" customWidth="1"/>
    <col min="17" max="18" width="9.140625" style="92" customWidth="1"/>
  </cols>
  <sheetData>
    <row r="1" spans="1:17" ht="20.25">
      <c r="A1" s="32" t="s">
        <v>24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Q1" s="93" t="s">
        <v>45</v>
      </c>
    </row>
    <row r="2" spans="1:17" ht="15">
      <c r="A2" s="45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Q2" s="94" t="s">
        <v>46</v>
      </c>
    </row>
    <row r="3" spans="1:13" ht="12.75">
      <c r="A3" s="103"/>
      <c r="B3" s="103" t="s">
        <v>26</v>
      </c>
      <c r="C3" s="116">
        <v>595</v>
      </c>
      <c r="D3" s="56" t="s">
        <v>47</v>
      </c>
      <c r="E3" s="56"/>
      <c r="F3" s="56"/>
      <c r="G3" s="104" t="s">
        <v>48</v>
      </c>
      <c r="H3" s="56"/>
      <c r="I3" s="33"/>
      <c r="J3" s="33"/>
      <c r="K3" s="33"/>
      <c r="L3" s="33"/>
      <c r="M3" s="34"/>
    </row>
    <row r="4" spans="1:20" ht="12.75">
      <c r="A4" s="103"/>
      <c r="B4" s="103"/>
      <c r="C4" s="117">
        <f>CONVERT(1,"m","ft")^3*$C$3</f>
        <v>21012.22669928571</v>
      </c>
      <c r="D4" s="56" t="s">
        <v>27</v>
      </c>
      <c r="E4" s="56"/>
      <c r="F4" s="56"/>
      <c r="G4" s="70">
        <f>CONVERT((C3/0.003564)^(1/3),"ft","m")</f>
        <v>16.783198048580388</v>
      </c>
      <c r="H4" s="56"/>
      <c r="I4" s="33"/>
      <c r="J4" s="33"/>
      <c r="K4" s="33"/>
      <c r="L4" s="33"/>
      <c r="M4" s="34"/>
      <c r="Q4" s="95" t="s">
        <v>2</v>
      </c>
      <c r="S4" s="100">
        <f>C3</f>
        <v>595</v>
      </c>
      <c r="T4" s="101" t="s">
        <v>49</v>
      </c>
    </row>
    <row r="5" spans="1:20" ht="12.75">
      <c r="A5" s="103"/>
      <c r="B5" s="103" t="s">
        <v>28</v>
      </c>
      <c r="C5" s="105">
        <v>6</v>
      </c>
      <c r="D5" s="56" t="s">
        <v>50</v>
      </c>
      <c r="E5" s="56"/>
      <c r="F5" s="56"/>
      <c r="G5" s="101"/>
      <c r="H5" s="56"/>
      <c r="I5" s="33"/>
      <c r="J5" s="33"/>
      <c r="K5" s="33"/>
      <c r="L5" s="33"/>
      <c r="M5" s="34"/>
      <c r="S5" s="102">
        <f>C4</f>
        <v>21012.22669928571</v>
      </c>
      <c r="T5" s="101" t="s">
        <v>51</v>
      </c>
    </row>
    <row r="6" spans="1:22" ht="12.75">
      <c r="A6" s="103"/>
      <c r="B6" s="103" t="s">
        <v>6</v>
      </c>
      <c r="C6" s="105">
        <v>12</v>
      </c>
      <c r="D6" s="56" t="s">
        <v>52</v>
      </c>
      <c r="E6" s="56"/>
      <c r="F6" s="56"/>
      <c r="G6" s="56"/>
      <c r="H6" s="56"/>
      <c r="I6" s="33"/>
      <c r="J6" s="33"/>
      <c r="K6" s="33"/>
      <c r="L6" s="33"/>
      <c r="M6" s="34"/>
      <c r="Q6" s="92" t="s">
        <v>53</v>
      </c>
      <c r="S6" s="106">
        <f>CONVERT(9.04,"ft","m")/(2*$C$6)*2*PI()+(2*$C$5/1000)</f>
        <v>0.7333599387466738</v>
      </c>
      <c r="T6" s="101" t="s">
        <v>54</v>
      </c>
      <c r="V6" s="101" t="s">
        <v>55</v>
      </c>
    </row>
    <row r="7" spans="1:23" ht="12.75">
      <c r="A7" s="103"/>
      <c r="B7" s="103" t="s">
        <v>30</v>
      </c>
      <c r="C7" s="105">
        <v>1.5</v>
      </c>
      <c r="D7" s="56" t="s">
        <v>54</v>
      </c>
      <c r="E7" s="56"/>
      <c r="F7" s="56"/>
      <c r="G7" s="101"/>
      <c r="H7" s="56"/>
      <c r="I7" s="33"/>
      <c r="J7" s="33"/>
      <c r="K7" s="33"/>
      <c r="L7" s="33"/>
      <c r="M7" s="34"/>
      <c r="Q7" s="92" t="s">
        <v>56</v>
      </c>
      <c r="S7" s="106">
        <f>CONVERT(7.415,"ft","m")/(2*$C$6)*2*PI()+(2*$C$5/1000)</f>
        <v>0.6036907019697553</v>
      </c>
      <c r="T7" s="101" t="s">
        <v>54</v>
      </c>
      <c r="W7" s="115">
        <f>CONVERT(7,"ft","m")</f>
        <v>2.1336</v>
      </c>
    </row>
    <row r="8" spans="1:23" ht="12.75">
      <c r="A8" s="33"/>
      <c r="B8" s="38"/>
      <c r="C8" s="39"/>
      <c r="D8" s="33"/>
      <c r="E8" s="33"/>
      <c r="F8" s="33"/>
      <c r="G8" s="33"/>
      <c r="H8" s="33"/>
      <c r="I8" s="33"/>
      <c r="J8" s="33"/>
      <c r="K8" s="33"/>
      <c r="L8" s="33"/>
      <c r="M8" s="34"/>
      <c r="Q8" s="101" t="s">
        <v>57</v>
      </c>
      <c r="R8"/>
      <c r="S8" s="106">
        <f>CONVERT(5.85,"ft","m")/(2*$C$6)*2*PI()+(2*$C$5/1000)</f>
        <v>0.47880925239690736</v>
      </c>
      <c r="T8" s="101" t="s">
        <v>54</v>
      </c>
      <c r="W8" s="115">
        <f>CONVERT(17.34,"ft","m")</f>
        <v>5.285232</v>
      </c>
    </row>
    <row r="9" spans="1:23" ht="12.75">
      <c r="A9" s="53"/>
      <c r="B9" s="54" t="s">
        <v>31</v>
      </c>
      <c r="C9" s="54" t="s">
        <v>32</v>
      </c>
      <c r="D9" s="54"/>
      <c r="E9" s="54"/>
      <c r="F9" s="54" t="s">
        <v>33</v>
      </c>
      <c r="G9" s="54" t="s">
        <v>58</v>
      </c>
      <c r="H9" s="55" t="s">
        <v>59</v>
      </c>
      <c r="I9" s="56"/>
      <c r="J9" s="56"/>
      <c r="K9" s="56" t="s">
        <v>31</v>
      </c>
      <c r="L9" s="56" t="s">
        <v>36</v>
      </c>
      <c r="M9" s="34"/>
      <c r="Q9"/>
      <c r="R9"/>
      <c r="W9" s="115">
        <f>CONVERT(29.82,"ft","m")</f>
        <v>9.089136</v>
      </c>
    </row>
    <row r="10" spans="1:19" ht="12.75">
      <c r="A10" s="57" t="s">
        <v>37</v>
      </c>
      <c r="B10" s="58" t="s">
        <v>38</v>
      </c>
      <c r="C10" s="58" t="s">
        <v>39</v>
      </c>
      <c r="D10" s="58" t="s">
        <v>31</v>
      </c>
      <c r="E10" s="58" t="s">
        <v>40</v>
      </c>
      <c r="F10" s="58" t="s">
        <v>41</v>
      </c>
      <c r="G10" s="58" t="s">
        <v>32</v>
      </c>
      <c r="H10" s="59" t="s">
        <v>32</v>
      </c>
      <c r="I10" s="56"/>
      <c r="J10" s="56"/>
      <c r="K10" s="56"/>
      <c r="L10" s="56" t="s">
        <v>42</v>
      </c>
      <c r="M10" s="34"/>
      <c r="Q10" s="111" t="s">
        <v>60</v>
      </c>
      <c r="R10" s="107" t="s">
        <v>32</v>
      </c>
      <c r="S10" s="96" t="s">
        <v>61</v>
      </c>
    </row>
    <row r="11" spans="1:19" ht="12.75">
      <c r="A11" s="60"/>
      <c r="B11" s="61"/>
      <c r="C11" s="61" t="s">
        <v>62</v>
      </c>
      <c r="D11" s="61" t="s">
        <v>62</v>
      </c>
      <c r="E11" s="61" t="s">
        <v>62</v>
      </c>
      <c r="F11" s="61" t="s">
        <v>62</v>
      </c>
      <c r="G11" s="61" t="s">
        <v>62</v>
      </c>
      <c r="H11" s="62" t="s">
        <v>62</v>
      </c>
      <c r="I11" s="56"/>
      <c r="J11" s="56"/>
      <c r="K11" s="56"/>
      <c r="L11" s="56" t="s">
        <v>44</v>
      </c>
      <c r="M11" s="34"/>
      <c r="Q11" s="112"/>
      <c r="R11" s="108" t="s">
        <v>63</v>
      </c>
      <c r="S11" s="98" t="s">
        <v>64</v>
      </c>
    </row>
    <row r="12" spans="1:20" ht="12.75">
      <c r="A12" s="63">
        <v>1</v>
      </c>
      <c r="B12" s="64">
        <v>0</v>
      </c>
      <c r="C12" s="65">
        <f aca="true" t="shared" si="0" ref="C12:D31">$G$4*A12</f>
        <v>16.783198048580388</v>
      </c>
      <c r="D12" s="66">
        <f t="shared" si="0"/>
        <v>0</v>
      </c>
      <c r="E12" s="66">
        <f aca="true" t="shared" si="1" ref="E12:E27">D12*2</f>
        <v>0</v>
      </c>
      <c r="F12" s="66">
        <f>E12*3.1416</f>
        <v>0</v>
      </c>
      <c r="G12" s="73">
        <f>F12/(2*$C$6)</f>
        <v>0</v>
      </c>
      <c r="H12" s="67">
        <f>G12+(2*$C$5/1000)</f>
        <v>0.012</v>
      </c>
      <c r="I12" s="68">
        <f>ABS(C12-C13)*H13/12-ABS(C12-C13)*(H13-H12)/24</f>
        <v>0.0015647090922711942</v>
      </c>
      <c r="J12" s="56"/>
      <c r="K12" s="69">
        <f aca="true" t="shared" si="2" ref="K12:K43">D12</f>
        <v>0</v>
      </c>
      <c r="L12" s="70">
        <f aca="true" t="shared" si="3" ref="L12:L27">L13+SQRT(ABS((C12-C13)^2-(D12-D13)^2))</f>
        <v>10.808203753698255</v>
      </c>
      <c r="M12" s="33"/>
      <c r="Q12" s="113">
        <f>1-A12</f>
        <v>0</v>
      </c>
      <c r="R12" s="109">
        <f>$G$4-C12</f>
        <v>0</v>
      </c>
      <c r="S12" s="99">
        <f aca="true" t="shared" si="4" ref="S12:S43">H12</f>
        <v>0.012</v>
      </c>
      <c r="T12" s="101" t="s">
        <v>65</v>
      </c>
    </row>
    <row r="13" spans="1:19" ht="12.75">
      <c r="A13" s="71">
        <v>0.98</v>
      </c>
      <c r="B13" s="72">
        <v>0.02</v>
      </c>
      <c r="C13" s="73">
        <f t="shared" si="0"/>
        <v>16.44753408760878</v>
      </c>
      <c r="D13" s="74">
        <f t="shared" si="0"/>
        <v>0.3356639609716078</v>
      </c>
      <c r="E13" s="74">
        <f t="shared" si="1"/>
        <v>0.6713279219432156</v>
      </c>
      <c r="F13" s="74">
        <f>E13*3.1416</f>
        <v>2.109043799576806</v>
      </c>
      <c r="G13" s="73">
        <f aca="true" t="shared" si="5" ref="G13:G62">F13/(2*$C$6)</f>
        <v>0.08787682498236692</v>
      </c>
      <c r="H13" s="75">
        <f aca="true" t="shared" si="6" ref="H13:H28">G13+(2*$C$5/1000)</f>
        <v>0.09987682498236691</v>
      </c>
      <c r="I13" s="68">
        <f aca="true" t="shared" si="7" ref="I13:I28">ABS(C13-C14)*H14/12-ABS(C13-C14)*(H14-H13)/24</f>
        <v>0.004022799354870366</v>
      </c>
      <c r="J13" s="56"/>
      <c r="K13" s="69">
        <f t="shared" si="2"/>
        <v>0.3356639609716078</v>
      </c>
      <c r="L13" s="70">
        <f t="shared" si="3"/>
        <v>10.80820373434108</v>
      </c>
      <c r="M13" s="34"/>
      <c r="Q13" s="113">
        <f aca="true" t="shared" si="8" ref="Q13:Q28">1-A13</f>
        <v>0.020000000000000018</v>
      </c>
      <c r="R13" s="109">
        <f aca="true" t="shared" si="9" ref="R13:R28">$G$4-C13</f>
        <v>0.33566396097160833</v>
      </c>
      <c r="S13" s="99">
        <f t="shared" si="4"/>
        <v>0.09987682498236691</v>
      </c>
    </row>
    <row r="14" spans="1:19" ht="12.75">
      <c r="A14" s="71">
        <v>0.96</v>
      </c>
      <c r="B14" s="72">
        <v>0.04</v>
      </c>
      <c r="C14" s="73">
        <f t="shared" si="0"/>
        <v>16.11187012663717</v>
      </c>
      <c r="D14" s="74">
        <f t="shared" si="0"/>
        <v>0.6713279219432156</v>
      </c>
      <c r="E14" s="74">
        <f t="shared" si="1"/>
        <v>1.342655843886431</v>
      </c>
      <c r="F14" s="74">
        <f aca="true" t="shared" si="10" ref="F14:F29">E14*3.1416</f>
        <v>4.218087599153612</v>
      </c>
      <c r="G14" s="73">
        <f t="shared" si="5"/>
        <v>0.17575364996473383</v>
      </c>
      <c r="H14" s="75">
        <f t="shared" si="6"/>
        <v>0.18775364996473384</v>
      </c>
      <c r="I14" s="68">
        <f t="shared" si="7"/>
        <v>0.006480275094903888</v>
      </c>
      <c r="J14" s="56"/>
      <c r="K14" s="69">
        <f t="shared" si="2"/>
        <v>0.6713279219432156</v>
      </c>
      <c r="L14" s="70">
        <f t="shared" si="3"/>
        <v>10.808203714983904</v>
      </c>
      <c r="M14" s="34"/>
      <c r="Q14" s="113">
        <f t="shared" si="8"/>
        <v>0.040000000000000036</v>
      </c>
      <c r="R14" s="109">
        <f t="shared" si="9"/>
        <v>0.6713279219432167</v>
      </c>
      <c r="S14" s="99">
        <f t="shared" si="4"/>
        <v>0.18775364996473384</v>
      </c>
    </row>
    <row r="15" spans="1:19" ht="12.75">
      <c r="A15" s="71">
        <v>0.94</v>
      </c>
      <c r="B15" s="72">
        <v>0.05999</v>
      </c>
      <c r="C15" s="73">
        <f t="shared" si="0"/>
        <v>15.776206165665563</v>
      </c>
      <c r="D15" s="74">
        <f t="shared" si="0"/>
        <v>1.0068240509343376</v>
      </c>
      <c r="E15" s="74">
        <f t="shared" si="1"/>
        <v>2.013648101868675</v>
      </c>
      <c r="F15" s="74">
        <f t="shared" si="10"/>
        <v>6.32607687683063</v>
      </c>
      <c r="G15" s="73">
        <f t="shared" si="5"/>
        <v>0.26358653653460956</v>
      </c>
      <c r="H15" s="75">
        <f t="shared" si="6"/>
        <v>0.27558653653460957</v>
      </c>
      <c r="I15" s="68">
        <f t="shared" si="7"/>
        <v>0.008936521789806017</v>
      </c>
      <c r="J15" s="56"/>
      <c r="K15" s="69">
        <f t="shared" si="2"/>
        <v>1.0068240509343376</v>
      </c>
      <c r="L15" s="70">
        <f t="shared" si="3"/>
        <v>10.79759041544409</v>
      </c>
      <c r="M15" s="34"/>
      <c r="Q15" s="113">
        <f t="shared" si="8"/>
        <v>0.06000000000000005</v>
      </c>
      <c r="R15" s="109">
        <f t="shared" si="9"/>
        <v>1.006991882914825</v>
      </c>
      <c r="S15" s="99">
        <f t="shared" si="4"/>
        <v>0.27558653653460957</v>
      </c>
    </row>
    <row r="16" spans="1:19" ht="12.75">
      <c r="A16" s="71">
        <v>0.92</v>
      </c>
      <c r="B16" s="72">
        <v>0.07997</v>
      </c>
      <c r="C16" s="73">
        <f t="shared" si="0"/>
        <v>15.440542204693958</v>
      </c>
      <c r="D16" s="74">
        <f t="shared" si="0"/>
        <v>1.3421523479449737</v>
      </c>
      <c r="E16" s="74">
        <f t="shared" si="1"/>
        <v>2.6843046958899475</v>
      </c>
      <c r="F16" s="74">
        <f t="shared" si="10"/>
        <v>8.433011632607858</v>
      </c>
      <c r="G16" s="73">
        <f t="shared" si="5"/>
        <v>0.3513754846919941</v>
      </c>
      <c r="H16" s="75">
        <f t="shared" si="6"/>
        <v>0.3633754846919941</v>
      </c>
      <c r="I16" s="68">
        <f t="shared" si="7"/>
        <v>0.011388466826748786</v>
      </c>
      <c r="J16" s="56"/>
      <c r="K16" s="69">
        <f t="shared" si="2"/>
        <v>1.3421523479449737</v>
      </c>
      <c r="L16" s="70">
        <f t="shared" si="3"/>
        <v>10.782582820063963</v>
      </c>
      <c r="M16" s="34"/>
      <c r="Q16" s="113">
        <f t="shared" si="8"/>
        <v>0.07999999999999996</v>
      </c>
      <c r="R16" s="109">
        <f t="shared" si="9"/>
        <v>1.3426558438864298</v>
      </c>
      <c r="S16" s="99">
        <f t="shared" si="4"/>
        <v>0.3633754846919941</v>
      </c>
    </row>
    <row r="17" spans="1:19" ht="12.75">
      <c r="A17" s="76">
        <v>0.9</v>
      </c>
      <c r="B17" s="77">
        <v>0.09989</v>
      </c>
      <c r="C17" s="78">
        <f t="shared" si="0"/>
        <v>15.10487824372235</v>
      </c>
      <c r="D17" s="79">
        <f t="shared" si="0"/>
        <v>1.6764736530726951</v>
      </c>
      <c r="E17" s="79">
        <f t="shared" si="1"/>
        <v>3.3529473061453903</v>
      </c>
      <c r="F17" s="79">
        <f t="shared" si="10"/>
        <v>10.533619256986357</v>
      </c>
      <c r="G17" s="73">
        <f t="shared" si="5"/>
        <v>0.4389008023744316</v>
      </c>
      <c r="H17" s="80">
        <f t="shared" si="6"/>
        <v>0.4509008023744316</v>
      </c>
      <c r="I17" s="81">
        <f t="shared" si="7"/>
        <v>0.013832423070338011</v>
      </c>
      <c r="J17" s="56"/>
      <c r="K17" s="82">
        <f t="shared" si="2"/>
        <v>1.6764736530726951</v>
      </c>
      <c r="L17" s="83">
        <f t="shared" si="3"/>
        <v>10.752590160414535</v>
      </c>
      <c r="M17" s="51"/>
      <c r="Q17" s="113">
        <f t="shared" si="8"/>
        <v>0.09999999999999998</v>
      </c>
      <c r="R17" s="109">
        <f t="shared" si="9"/>
        <v>1.6783198048580381</v>
      </c>
      <c r="S17" s="99">
        <f t="shared" si="4"/>
        <v>0.4509008023744316</v>
      </c>
    </row>
    <row r="18" spans="1:19" ht="12.75">
      <c r="A18" s="76">
        <v>0.88</v>
      </c>
      <c r="B18" s="77">
        <v>0.11974</v>
      </c>
      <c r="C18" s="78">
        <f t="shared" si="0"/>
        <v>14.769214282750742</v>
      </c>
      <c r="D18" s="79">
        <f t="shared" si="0"/>
        <v>2.0096201343370157</v>
      </c>
      <c r="E18" s="79">
        <f t="shared" si="1"/>
        <v>4.019240268674031</v>
      </c>
      <c r="F18" s="79">
        <f t="shared" si="10"/>
        <v>12.626845228066337</v>
      </c>
      <c r="G18" s="73">
        <f t="shared" si="5"/>
        <v>0.5261185511694307</v>
      </c>
      <c r="H18" s="80">
        <f t="shared" si="6"/>
        <v>0.5381185511694307</v>
      </c>
      <c r="I18" s="81">
        <f t="shared" si="7"/>
        <v>0.016262859817482943</v>
      </c>
      <c r="J18" s="56"/>
      <c r="K18" s="82">
        <f t="shared" si="2"/>
        <v>2.0096201343370157</v>
      </c>
      <c r="L18" s="83">
        <f t="shared" si="3"/>
        <v>10.711557043102404</v>
      </c>
      <c r="M18" s="51"/>
      <c r="Q18" s="113">
        <f t="shared" si="8"/>
        <v>0.12</v>
      </c>
      <c r="R18" s="109">
        <f t="shared" si="9"/>
        <v>2.0139837658296464</v>
      </c>
      <c r="S18" s="99">
        <f t="shared" si="4"/>
        <v>0.5381185511694307</v>
      </c>
    </row>
    <row r="19" spans="1:19" ht="12.75">
      <c r="A19" s="71">
        <v>0.86</v>
      </c>
      <c r="B19" s="72">
        <v>0.13944</v>
      </c>
      <c r="C19" s="73">
        <f t="shared" si="0"/>
        <v>14.433550321779133</v>
      </c>
      <c r="D19" s="74">
        <f t="shared" si="0"/>
        <v>2.3402491358940494</v>
      </c>
      <c r="E19" s="74">
        <f t="shared" si="1"/>
        <v>4.680498271788099</v>
      </c>
      <c r="F19" s="74">
        <f t="shared" si="10"/>
        <v>14.704253370649491</v>
      </c>
      <c r="G19" s="73">
        <f t="shared" si="5"/>
        <v>0.6126772237770621</v>
      </c>
      <c r="H19" s="75">
        <f t="shared" si="6"/>
        <v>0.6246772237770621</v>
      </c>
      <c r="I19" s="68">
        <f t="shared" si="7"/>
        <v>0.01866994470713318</v>
      </c>
      <c r="J19" s="56"/>
      <c r="K19" s="69">
        <f t="shared" si="2"/>
        <v>2.3402491358940494</v>
      </c>
      <c r="L19" s="70">
        <f t="shared" si="3"/>
        <v>10.653636770101075</v>
      </c>
      <c r="M19" s="34"/>
      <c r="Q19" s="113">
        <f t="shared" si="8"/>
        <v>0.14</v>
      </c>
      <c r="R19" s="109">
        <f t="shared" si="9"/>
        <v>2.3496477268012548</v>
      </c>
      <c r="S19" s="99">
        <f t="shared" si="4"/>
        <v>0.6246772237770621</v>
      </c>
    </row>
    <row r="20" spans="1:19" ht="12.75">
      <c r="A20" s="71">
        <v>0.84</v>
      </c>
      <c r="B20" s="72">
        <v>0.15891</v>
      </c>
      <c r="C20" s="73">
        <f t="shared" si="0"/>
        <v>14.097886360807525</v>
      </c>
      <c r="D20" s="74">
        <f t="shared" si="0"/>
        <v>2.6670180018999092</v>
      </c>
      <c r="E20" s="74">
        <f t="shared" si="1"/>
        <v>5.3340360037998185</v>
      </c>
      <c r="F20" s="74">
        <f t="shared" si="10"/>
        <v>16.757407509537508</v>
      </c>
      <c r="G20" s="73">
        <f t="shared" si="5"/>
        <v>0.6982253128973962</v>
      </c>
      <c r="H20" s="75">
        <f t="shared" si="6"/>
        <v>0.7102253128973962</v>
      </c>
      <c r="I20" s="68">
        <f t="shared" si="7"/>
        <v>0.02104261633310703</v>
      </c>
      <c r="J20" s="56"/>
      <c r="K20" s="69">
        <f t="shared" si="2"/>
        <v>2.6670180018999092</v>
      </c>
      <c r="L20" s="70">
        <f t="shared" si="3"/>
        <v>10.576874781432243</v>
      </c>
      <c r="M20" s="34"/>
      <c r="Q20" s="113">
        <f t="shared" si="8"/>
        <v>0.16000000000000003</v>
      </c>
      <c r="R20" s="109">
        <f t="shared" si="9"/>
        <v>2.685311687772863</v>
      </c>
      <c r="S20" s="99">
        <f t="shared" si="4"/>
        <v>0.7102253128973962</v>
      </c>
    </row>
    <row r="21" spans="1:19" ht="12.75">
      <c r="A21" s="71">
        <v>0.82</v>
      </c>
      <c r="B21" s="72">
        <v>0.17805</v>
      </c>
      <c r="C21" s="73">
        <f t="shared" si="0"/>
        <v>13.762222399835917</v>
      </c>
      <c r="D21" s="74">
        <f t="shared" si="0"/>
        <v>2.9882484125497384</v>
      </c>
      <c r="E21" s="74">
        <f t="shared" si="1"/>
        <v>5.976496825099477</v>
      </c>
      <c r="F21" s="74">
        <f t="shared" si="10"/>
        <v>18.775762425732516</v>
      </c>
      <c r="G21" s="73">
        <f t="shared" si="5"/>
        <v>0.7823234344055215</v>
      </c>
      <c r="H21" s="75">
        <f t="shared" si="6"/>
        <v>0.7943234344055216</v>
      </c>
      <c r="I21" s="68">
        <f t="shared" si="7"/>
        <v>0.023366740676394302</v>
      </c>
      <c r="J21" s="56"/>
      <c r="K21" s="69">
        <f t="shared" si="2"/>
        <v>2.9882484125497384</v>
      </c>
      <c r="L21" s="70">
        <f t="shared" si="3"/>
        <v>10.479502721944465</v>
      </c>
      <c r="M21" s="34"/>
      <c r="Q21" s="113">
        <f t="shared" si="8"/>
        <v>0.18000000000000005</v>
      </c>
      <c r="R21" s="109">
        <f t="shared" si="9"/>
        <v>3.0209756487444714</v>
      </c>
      <c r="S21" s="99">
        <f t="shared" si="4"/>
        <v>0.7943234344055216</v>
      </c>
    </row>
    <row r="22" spans="1:19" ht="12.75">
      <c r="A22" s="71">
        <v>0.8</v>
      </c>
      <c r="B22" s="72">
        <v>0.19673</v>
      </c>
      <c r="C22" s="73">
        <f t="shared" si="0"/>
        <v>13.426558438864312</v>
      </c>
      <c r="D22" s="74">
        <f t="shared" si="0"/>
        <v>3.3017585520972195</v>
      </c>
      <c r="E22" s="74">
        <f t="shared" si="1"/>
        <v>6.603517104194439</v>
      </c>
      <c r="F22" s="74">
        <f t="shared" si="10"/>
        <v>20.74560933453725</v>
      </c>
      <c r="G22" s="73">
        <f t="shared" si="5"/>
        <v>0.864400388939052</v>
      </c>
      <c r="H22" s="75">
        <f t="shared" si="6"/>
        <v>0.876400388939052</v>
      </c>
      <c r="I22" s="68">
        <f t="shared" si="7"/>
        <v>0.025625111105157538</v>
      </c>
      <c r="J22" s="56"/>
      <c r="K22" s="69">
        <f t="shared" si="2"/>
        <v>3.3017585520972195</v>
      </c>
      <c r="L22" s="70">
        <f t="shared" si="3"/>
        <v>10.359579049985731</v>
      </c>
      <c r="M22" s="34"/>
      <c r="Q22" s="113">
        <f t="shared" si="8"/>
        <v>0.19999999999999996</v>
      </c>
      <c r="R22" s="109">
        <f t="shared" si="9"/>
        <v>3.3566396097160762</v>
      </c>
      <c r="S22" s="99">
        <f t="shared" si="4"/>
        <v>0.876400388939052</v>
      </c>
    </row>
    <row r="23" spans="1:19" ht="12.75">
      <c r="A23" s="71">
        <v>0.78</v>
      </c>
      <c r="B23" s="72">
        <v>0.2148</v>
      </c>
      <c r="C23" s="73">
        <f t="shared" si="0"/>
        <v>13.090894477892704</v>
      </c>
      <c r="D23" s="74">
        <f t="shared" si="0"/>
        <v>3.6050309408350674</v>
      </c>
      <c r="E23" s="74">
        <f t="shared" si="1"/>
        <v>7.210061881670135</v>
      </c>
      <c r="F23" s="74">
        <f t="shared" si="10"/>
        <v>22.651130407454893</v>
      </c>
      <c r="G23" s="73">
        <f t="shared" si="5"/>
        <v>0.9437971003106206</v>
      </c>
      <c r="H23" s="75">
        <f t="shared" si="6"/>
        <v>0.9557971003106206</v>
      </c>
      <c r="I23" s="68">
        <f t="shared" si="7"/>
        <v>0.02779867741986086</v>
      </c>
      <c r="J23" s="56"/>
      <c r="K23" s="69">
        <f t="shared" si="2"/>
        <v>3.6050309408350674</v>
      </c>
      <c r="L23" s="70">
        <f t="shared" si="3"/>
        <v>10.215717474419533</v>
      </c>
      <c r="M23" s="34"/>
      <c r="Q23" s="113">
        <f t="shared" si="8"/>
        <v>0.21999999999999997</v>
      </c>
      <c r="R23" s="109">
        <f t="shared" si="9"/>
        <v>3.6923035706876846</v>
      </c>
      <c r="S23" s="99">
        <f t="shared" si="4"/>
        <v>0.9557971003106206</v>
      </c>
    </row>
    <row r="24" spans="1:19" ht="12.75">
      <c r="A24" s="71">
        <v>0.76</v>
      </c>
      <c r="B24" s="72">
        <v>0.2321</v>
      </c>
      <c r="C24" s="73">
        <f t="shared" si="0"/>
        <v>12.755230516921095</v>
      </c>
      <c r="D24" s="74">
        <f t="shared" si="0"/>
        <v>3.895380267075508</v>
      </c>
      <c r="E24" s="74">
        <f t="shared" si="1"/>
        <v>7.790760534151016</v>
      </c>
      <c r="F24" s="74">
        <f t="shared" si="10"/>
        <v>24.475453294088833</v>
      </c>
      <c r="G24" s="73">
        <f t="shared" si="5"/>
        <v>1.0198105539203681</v>
      </c>
      <c r="H24" s="75">
        <f t="shared" si="6"/>
        <v>1.0318105539203681</v>
      </c>
      <c r="I24" s="68">
        <f t="shared" si="7"/>
        <v>0.029865931330706762</v>
      </c>
      <c r="J24" s="56"/>
      <c r="K24" s="69">
        <f t="shared" si="2"/>
        <v>3.895380267075508</v>
      </c>
      <c r="L24" s="70">
        <f t="shared" si="3"/>
        <v>10.047290744216541</v>
      </c>
      <c r="M24" s="34"/>
      <c r="Q24" s="113">
        <f t="shared" si="8"/>
        <v>0.24</v>
      </c>
      <c r="R24" s="109">
        <f t="shared" si="9"/>
        <v>4.027967531659293</v>
      </c>
      <c r="S24" s="99">
        <f t="shared" si="4"/>
        <v>1.0318105539203681</v>
      </c>
    </row>
    <row r="25" spans="1:19" ht="12.75">
      <c r="A25" s="71">
        <v>0.74</v>
      </c>
      <c r="B25" s="72">
        <v>0.24844</v>
      </c>
      <c r="C25" s="73">
        <f t="shared" si="0"/>
        <v>12.419566555949487</v>
      </c>
      <c r="D25" s="74">
        <f t="shared" si="0"/>
        <v>4.169617723189312</v>
      </c>
      <c r="E25" s="74">
        <f t="shared" si="1"/>
        <v>8.339235446378623</v>
      </c>
      <c r="F25" s="74">
        <f t="shared" si="10"/>
        <v>26.19854207834308</v>
      </c>
      <c r="G25" s="73">
        <f t="shared" si="5"/>
        <v>1.0916059199309618</v>
      </c>
      <c r="H25" s="75">
        <f t="shared" si="6"/>
        <v>1.1036059199309618</v>
      </c>
      <c r="I25" s="68">
        <f t="shared" si="7"/>
        <v>0.031804135502766215</v>
      </c>
      <c r="J25" s="56"/>
      <c r="K25" s="69">
        <f t="shared" si="2"/>
        <v>4.169617723189312</v>
      </c>
      <c r="L25" s="70">
        <f t="shared" si="3"/>
        <v>9.853734260575772</v>
      </c>
      <c r="M25" s="34"/>
      <c r="Q25" s="113">
        <f t="shared" si="8"/>
        <v>0.26</v>
      </c>
      <c r="R25" s="109">
        <f t="shared" si="9"/>
        <v>4.363631492630901</v>
      </c>
      <c r="S25" s="99">
        <f t="shared" si="4"/>
        <v>1.1036059199309618</v>
      </c>
    </row>
    <row r="26" spans="1:19" ht="12.75">
      <c r="A26" s="71">
        <v>0.72</v>
      </c>
      <c r="B26" s="72">
        <v>0.26364</v>
      </c>
      <c r="C26" s="73">
        <f t="shared" si="0"/>
        <v>12.083902594977879</v>
      </c>
      <c r="D26" s="74">
        <f t="shared" si="0"/>
        <v>4.4247223335277335</v>
      </c>
      <c r="E26" s="74">
        <f t="shared" si="1"/>
        <v>8.849444667055467</v>
      </c>
      <c r="F26" s="74">
        <f t="shared" si="10"/>
        <v>27.801415366021455</v>
      </c>
      <c r="G26" s="73">
        <f t="shared" si="5"/>
        <v>1.1583923069175606</v>
      </c>
      <c r="H26" s="75">
        <f t="shared" si="6"/>
        <v>1.1703923069175606</v>
      </c>
      <c r="I26" s="68">
        <f t="shared" si="7"/>
        <v>0.03359055260111016</v>
      </c>
      <c r="J26" s="56"/>
      <c r="K26" s="69">
        <f t="shared" si="2"/>
        <v>4.4247223335277335</v>
      </c>
      <c r="L26" s="70">
        <f t="shared" si="3"/>
        <v>9.635578507776925</v>
      </c>
      <c r="M26" s="34"/>
      <c r="Q26" s="113">
        <f t="shared" si="8"/>
        <v>0.28</v>
      </c>
      <c r="R26" s="109">
        <f t="shared" si="9"/>
        <v>4.6992954536025096</v>
      </c>
      <c r="S26" s="99">
        <f t="shared" si="4"/>
        <v>1.1703923069175606</v>
      </c>
    </row>
    <row r="27" spans="1:19" ht="12.75">
      <c r="A27" s="71">
        <v>0.7</v>
      </c>
      <c r="B27" s="72">
        <v>0.27751</v>
      </c>
      <c r="C27" s="73">
        <f t="shared" si="0"/>
        <v>11.74823863400627</v>
      </c>
      <c r="D27" s="74">
        <f t="shared" si="0"/>
        <v>4.657505290461543</v>
      </c>
      <c r="E27" s="74">
        <f t="shared" si="1"/>
        <v>9.315010580923087</v>
      </c>
      <c r="F27" s="74">
        <f t="shared" si="10"/>
        <v>29.264037241027967</v>
      </c>
      <c r="G27" s="73">
        <f t="shared" si="5"/>
        <v>1.219334885042832</v>
      </c>
      <c r="H27" s="75">
        <f t="shared" si="6"/>
        <v>1.231334885042832</v>
      </c>
      <c r="I27" s="68">
        <f t="shared" si="7"/>
        <v>0.03520367433594048</v>
      </c>
      <c r="J27" s="56"/>
      <c r="K27" s="69">
        <f t="shared" si="2"/>
        <v>4.657505290461543</v>
      </c>
      <c r="L27" s="70">
        <f t="shared" si="3"/>
        <v>9.393747182973248</v>
      </c>
      <c r="M27" s="34"/>
      <c r="Q27" s="113">
        <f t="shared" si="8"/>
        <v>0.30000000000000004</v>
      </c>
      <c r="R27" s="109">
        <f t="shared" si="9"/>
        <v>5.034959414574118</v>
      </c>
      <c r="S27" s="99">
        <f t="shared" si="4"/>
        <v>1.231334885042832</v>
      </c>
    </row>
    <row r="28" spans="1:19" ht="12.75">
      <c r="A28" s="71">
        <v>0.68</v>
      </c>
      <c r="B28" s="72">
        <v>0.28989</v>
      </c>
      <c r="C28" s="73">
        <f t="shared" si="0"/>
        <v>11.412574673034666</v>
      </c>
      <c r="D28" s="74">
        <f t="shared" si="0"/>
        <v>4.865281282302968</v>
      </c>
      <c r="E28" s="74">
        <f aca="true" t="shared" si="11" ref="E28:E43">D28*2</f>
        <v>9.730562564605936</v>
      </c>
      <c r="F28" s="74">
        <f t="shared" si="10"/>
        <v>30.569535352966007</v>
      </c>
      <c r="G28" s="73">
        <f t="shared" si="5"/>
        <v>1.273730639706917</v>
      </c>
      <c r="H28" s="75">
        <f t="shared" si="6"/>
        <v>1.285730639706917</v>
      </c>
      <c r="I28" s="68">
        <f t="shared" si="7"/>
        <v>0.03662506503028883</v>
      </c>
      <c r="J28" s="56"/>
      <c r="K28" s="69">
        <f t="shared" si="2"/>
        <v>4.865281282302968</v>
      </c>
      <c r="L28" s="70">
        <f aca="true" t="shared" si="12" ref="L28:L43">L29+SQRT(ABS((C28-C29)^2-(D28-D29)^2))</f>
        <v>9.130119733891293</v>
      </c>
      <c r="M28" s="34"/>
      <c r="Q28" s="113">
        <f t="shared" si="8"/>
        <v>0.31999999999999995</v>
      </c>
      <c r="R28" s="109">
        <f t="shared" si="9"/>
        <v>5.370623375545723</v>
      </c>
      <c r="S28" s="99">
        <f t="shared" si="4"/>
        <v>1.285730639706917</v>
      </c>
    </row>
    <row r="29" spans="1:19" ht="12.75">
      <c r="A29" s="71">
        <v>0.66</v>
      </c>
      <c r="B29" s="72">
        <v>0.30064</v>
      </c>
      <c r="C29" s="73">
        <f t="shared" si="0"/>
        <v>11.076910712063057</v>
      </c>
      <c r="D29" s="74">
        <f t="shared" si="0"/>
        <v>5.045700661325208</v>
      </c>
      <c r="E29" s="74">
        <f t="shared" si="11"/>
        <v>10.091401322650416</v>
      </c>
      <c r="F29" s="74">
        <f t="shared" si="10"/>
        <v>31.703146395238548</v>
      </c>
      <c r="G29" s="73">
        <f t="shared" si="5"/>
        <v>1.3209644331349395</v>
      </c>
      <c r="H29" s="75">
        <f aca="true" t="shared" si="13" ref="H29:H44">G29+(2*$C$5/1000)</f>
        <v>1.3329644331349395</v>
      </c>
      <c r="I29" s="68">
        <f aca="true" t="shared" si="14" ref="I29:I44">ABS(C29-C30)*H30/12-ABS(C29-C30)*(H30-H29)/24</f>
        <v>0.037837518052315874</v>
      </c>
      <c r="J29" s="56"/>
      <c r="K29" s="69">
        <f t="shared" si="2"/>
        <v>5.045700661325208</v>
      </c>
      <c r="L29" s="70">
        <f t="shared" si="12"/>
        <v>8.847066483833325</v>
      </c>
      <c r="M29" s="34"/>
      <c r="Q29" s="113">
        <f aca="true" t="shared" si="15" ref="Q29:Q44">1-A29</f>
        <v>0.33999999999999997</v>
      </c>
      <c r="R29" s="109">
        <f aca="true" t="shared" si="16" ref="R29:R44">$G$4-C29</f>
        <v>5.706287336517331</v>
      </c>
      <c r="S29" s="99">
        <f t="shared" si="4"/>
        <v>1.3329644331349395</v>
      </c>
    </row>
    <row r="30" spans="1:19" ht="12.75">
      <c r="A30" s="71">
        <v>0.64</v>
      </c>
      <c r="B30" s="72">
        <v>0.30962</v>
      </c>
      <c r="C30" s="73">
        <f t="shared" si="0"/>
        <v>10.741246751091449</v>
      </c>
      <c r="D30" s="74">
        <f t="shared" si="0"/>
        <v>5.19641377980146</v>
      </c>
      <c r="E30" s="74">
        <f t="shared" si="11"/>
        <v>10.39282755960292</v>
      </c>
      <c r="F30" s="74">
        <f aca="true" t="shared" si="17" ref="F30:F45">E30*3.1416</f>
        <v>32.650107061248534</v>
      </c>
      <c r="G30" s="73">
        <f t="shared" si="5"/>
        <v>1.3604211275520222</v>
      </c>
      <c r="H30" s="75">
        <f t="shared" si="13"/>
        <v>1.3724211275520222</v>
      </c>
      <c r="I30" s="68">
        <f t="shared" si="14"/>
        <v>0.038828742950709</v>
      </c>
      <c r="J30" s="56"/>
      <c r="K30" s="69">
        <f t="shared" si="2"/>
        <v>5.19641377980146</v>
      </c>
      <c r="L30" s="70">
        <f t="shared" si="12"/>
        <v>8.547140075168945</v>
      </c>
      <c r="M30" s="34"/>
      <c r="Q30" s="113">
        <f t="shared" si="15"/>
        <v>0.36</v>
      </c>
      <c r="R30" s="109">
        <f t="shared" si="16"/>
        <v>6.041951297488939</v>
      </c>
      <c r="S30" s="99">
        <f t="shared" si="4"/>
        <v>1.3724211275520222</v>
      </c>
    </row>
    <row r="31" spans="1:19" ht="12.75">
      <c r="A31" s="71">
        <v>0.62</v>
      </c>
      <c r="B31" s="72">
        <v>0.31677</v>
      </c>
      <c r="C31" s="73">
        <f t="shared" si="0"/>
        <v>10.40558279011984</v>
      </c>
      <c r="D31" s="74">
        <f t="shared" si="0"/>
        <v>5.31641364584881</v>
      </c>
      <c r="E31" s="74">
        <f t="shared" si="11"/>
        <v>10.63282729169762</v>
      </c>
      <c r="F31" s="74">
        <f t="shared" si="17"/>
        <v>33.404090219597244</v>
      </c>
      <c r="G31" s="73">
        <f t="shared" si="5"/>
        <v>1.3918370924832184</v>
      </c>
      <c r="H31" s="75">
        <f t="shared" si="13"/>
        <v>1.4038370924832184</v>
      </c>
      <c r="I31" s="68">
        <f t="shared" si="14"/>
        <v>0.03959136545468038</v>
      </c>
      <c r="J31" s="56"/>
      <c r="K31" s="69">
        <f t="shared" si="2"/>
        <v>5.31641364584881</v>
      </c>
      <c r="L31" s="70">
        <f t="shared" si="12"/>
        <v>8.233659091943858</v>
      </c>
      <c r="M31" s="34"/>
      <c r="Q31" s="113">
        <f t="shared" si="15"/>
        <v>0.38</v>
      </c>
      <c r="R31" s="109">
        <f t="shared" si="16"/>
        <v>6.377615258460548</v>
      </c>
      <c r="S31" s="99">
        <f t="shared" si="4"/>
        <v>1.4038370924832184</v>
      </c>
    </row>
    <row r="32" spans="1:19" ht="12.75">
      <c r="A32" s="71">
        <v>0.6</v>
      </c>
      <c r="B32" s="72">
        <v>0.32203</v>
      </c>
      <c r="C32" s="73">
        <f aca="true" t="shared" si="18" ref="C32:D51">$G$4*A32</f>
        <v>10.069918829148232</v>
      </c>
      <c r="D32" s="74">
        <f t="shared" si="18"/>
        <v>5.404693267584342</v>
      </c>
      <c r="E32" s="74">
        <f t="shared" si="11"/>
        <v>10.809386535168684</v>
      </c>
      <c r="F32" s="74">
        <f t="shared" si="17"/>
        <v>33.95876873888594</v>
      </c>
      <c r="G32" s="73">
        <f t="shared" si="5"/>
        <v>1.4149486974535808</v>
      </c>
      <c r="H32" s="75">
        <f t="shared" si="13"/>
        <v>1.4269486974535808</v>
      </c>
      <c r="I32" s="68">
        <f t="shared" si="14"/>
        <v>0.04012169842883615</v>
      </c>
      <c r="J32" s="56"/>
      <c r="K32" s="69">
        <f t="shared" si="2"/>
        <v>5.404693267584342</v>
      </c>
      <c r="L32" s="70">
        <f t="shared" si="12"/>
        <v>7.909811901001308</v>
      </c>
      <c r="M32" s="34"/>
      <c r="Q32" s="113">
        <f t="shared" si="15"/>
        <v>0.4</v>
      </c>
      <c r="R32" s="109">
        <f t="shared" si="16"/>
        <v>6.713279219432156</v>
      </c>
      <c r="S32" s="99">
        <f t="shared" si="4"/>
        <v>1.4269486974535808</v>
      </c>
    </row>
    <row r="33" spans="1:19" ht="12.75">
      <c r="A33" s="71">
        <v>0.58</v>
      </c>
      <c r="B33" s="72">
        <v>0.3254</v>
      </c>
      <c r="C33" s="73">
        <f t="shared" si="18"/>
        <v>9.734254868176624</v>
      </c>
      <c r="D33" s="74">
        <f t="shared" si="18"/>
        <v>5.4612526450080585</v>
      </c>
      <c r="E33" s="74">
        <f t="shared" si="11"/>
        <v>10.922505290016117</v>
      </c>
      <c r="F33" s="74">
        <f t="shared" si="17"/>
        <v>34.314142619114634</v>
      </c>
      <c r="G33" s="73">
        <f t="shared" si="5"/>
        <v>1.4297559424631097</v>
      </c>
      <c r="H33" s="75">
        <f t="shared" si="13"/>
        <v>1.4417559424631097</v>
      </c>
      <c r="I33" s="68">
        <f t="shared" si="14"/>
        <v>0.04042158544087282</v>
      </c>
      <c r="J33" s="56"/>
      <c r="K33" s="69">
        <f t="shared" si="2"/>
        <v>5.4612526450080585</v>
      </c>
      <c r="L33" s="70">
        <f t="shared" si="12"/>
        <v>7.5789473796023055</v>
      </c>
      <c r="M33" s="34"/>
      <c r="Q33" s="113">
        <f t="shared" si="15"/>
        <v>0.42000000000000004</v>
      </c>
      <c r="R33" s="109">
        <f t="shared" si="16"/>
        <v>7.048943180403764</v>
      </c>
      <c r="S33" s="99">
        <f t="shared" si="4"/>
        <v>1.4417559424631097</v>
      </c>
    </row>
    <row r="34" spans="1:19" ht="12.75">
      <c r="A34" s="71">
        <v>0.56</v>
      </c>
      <c r="B34" s="72">
        <v>0.32691</v>
      </c>
      <c r="C34" s="73">
        <f t="shared" si="18"/>
        <v>9.398590907205019</v>
      </c>
      <c r="D34" s="74">
        <f t="shared" si="18"/>
        <v>5.486595274061415</v>
      </c>
      <c r="E34" s="74">
        <f t="shared" si="11"/>
        <v>10.97319054812283</v>
      </c>
      <c r="F34" s="74">
        <f t="shared" si="17"/>
        <v>34.47337542598268</v>
      </c>
      <c r="G34" s="73">
        <f t="shared" si="5"/>
        <v>1.4363906427492783</v>
      </c>
      <c r="H34" s="75">
        <f t="shared" si="13"/>
        <v>1.4483906427492783</v>
      </c>
      <c r="I34" s="68">
        <f t="shared" si="14"/>
        <v>0.04049655719388253</v>
      </c>
      <c r="J34" s="56"/>
      <c r="K34" s="69">
        <f t="shared" si="2"/>
        <v>5.486595274061415</v>
      </c>
      <c r="L34" s="70">
        <f t="shared" si="12"/>
        <v>7.2442414701118825</v>
      </c>
      <c r="M34" s="34"/>
      <c r="Q34" s="113">
        <f t="shared" si="15"/>
        <v>0.43999999999999995</v>
      </c>
      <c r="R34" s="109">
        <f t="shared" si="16"/>
        <v>7.384607141375369</v>
      </c>
      <c r="S34" s="99">
        <f t="shared" si="4"/>
        <v>1.4483906427492783</v>
      </c>
    </row>
    <row r="35" spans="1:19" ht="12.75">
      <c r="A35" s="71">
        <v>0.54</v>
      </c>
      <c r="B35" s="72">
        <v>0.32662</v>
      </c>
      <c r="C35" s="73">
        <f t="shared" si="18"/>
        <v>9.06292694623341</v>
      </c>
      <c r="D35" s="74">
        <f t="shared" si="18"/>
        <v>5.481728146627327</v>
      </c>
      <c r="E35" s="74">
        <f t="shared" si="11"/>
        <v>10.963456293254653</v>
      </c>
      <c r="F35" s="74">
        <f t="shared" si="17"/>
        <v>34.44279429088882</v>
      </c>
      <c r="G35" s="73">
        <f t="shared" si="5"/>
        <v>1.4351164287870342</v>
      </c>
      <c r="H35" s="75">
        <f t="shared" si="13"/>
        <v>1.4471164287870342</v>
      </c>
      <c r="I35" s="68">
        <f t="shared" si="14"/>
        <v>0.04035521700378308</v>
      </c>
      <c r="J35" s="56"/>
      <c r="K35" s="69">
        <f t="shared" si="2"/>
        <v>5.481728146627327</v>
      </c>
      <c r="L35" s="70">
        <f t="shared" si="12"/>
        <v>6.908612797669122</v>
      </c>
      <c r="M35" s="34"/>
      <c r="Q35" s="113">
        <f t="shared" si="15"/>
        <v>0.45999999999999996</v>
      </c>
      <c r="R35" s="109">
        <f t="shared" si="16"/>
        <v>7.720271102346977</v>
      </c>
      <c r="S35" s="99">
        <f t="shared" si="4"/>
        <v>1.4471164287870342</v>
      </c>
    </row>
    <row r="36" spans="1:19" ht="12.75">
      <c r="A36" s="71">
        <v>0.52</v>
      </c>
      <c r="B36" s="72">
        <v>0.32461</v>
      </c>
      <c r="C36" s="73">
        <f t="shared" si="18"/>
        <v>8.727262985261802</v>
      </c>
      <c r="D36" s="74">
        <f t="shared" si="18"/>
        <v>5.44799391854968</v>
      </c>
      <c r="E36" s="74">
        <f t="shared" si="11"/>
        <v>10.89598783709936</v>
      </c>
      <c r="F36" s="74">
        <f t="shared" si="17"/>
        <v>34.23083538903135</v>
      </c>
      <c r="G36" s="73">
        <f t="shared" si="5"/>
        <v>1.4262848078763062</v>
      </c>
      <c r="H36" s="75">
        <f t="shared" si="13"/>
        <v>1.4382848078763062</v>
      </c>
      <c r="I36" s="68">
        <f t="shared" si="14"/>
        <v>0.04000985532188789</v>
      </c>
      <c r="J36" s="56"/>
      <c r="K36" s="69">
        <f t="shared" si="2"/>
        <v>5.44799391854968</v>
      </c>
      <c r="L36" s="70">
        <f t="shared" si="12"/>
        <v>6.574648283759103</v>
      </c>
      <c r="M36" s="34"/>
      <c r="Q36" s="113">
        <f t="shared" si="15"/>
        <v>0.48</v>
      </c>
      <c r="R36" s="109">
        <f t="shared" si="16"/>
        <v>8.055935063318586</v>
      </c>
      <c r="S36" s="99">
        <f t="shared" si="4"/>
        <v>1.4382848078763062</v>
      </c>
    </row>
    <row r="37" spans="1:19" ht="12.75">
      <c r="A37" s="71">
        <v>0.5</v>
      </c>
      <c r="B37" s="72">
        <v>0.321</v>
      </c>
      <c r="C37" s="73">
        <f t="shared" si="18"/>
        <v>8.391599024290194</v>
      </c>
      <c r="D37" s="74">
        <f t="shared" si="18"/>
        <v>5.387406573594305</v>
      </c>
      <c r="E37" s="74">
        <f t="shared" si="11"/>
        <v>10.77481314718861</v>
      </c>
      <c r="F37" s="74">
        <f t="shared" si="17"/>
        <v>33.850152983207735</v>
      </c>
      <c r="G37" s="73">
        <f t="shared" si="5"/>
        <v>1.410423040966989</v>
      </c>
      <c r="H37" s="75">
        <f t="shared" si="13"/>
        <v>1.422423040966989</v>
      </c>
      <c r="I37" s="68">
        <f t="shared" si="14"/>
        <v>0.03947522068977258</v>
      </c>
      <c r="J37" s="56"/>
      <c r="K37" s="69">
        <f t="shared" si="2"/>
        <v>5.387406573594305</v>
      </c>
      <c r="L37" s="70">
        <f t="shared" si="12"/>
        <v>6.24449760857214</v>
      </c>
      <c r="M37" s="34"/>
      <c r="Q37" s="113">
        <f t="shared" si="15"/>
        <v>0.5</v>
      </c>
      <c r="R37" s="109">
        <f t="shared" si="16"/>
        <v>8.391599024290194</v>
      </c>
      <c r="S37" s="99">
        <f t="shared" si="4"/>
        <v>1.422423040966989</v>
      </c>
    </row>
    <row r="38" spans="1:19" ht="12.75">
      <c r="A38" s="71">
        <v>0.48</v>
      </c>
      <c r="B38" s="72">
        <v>0.31591</v>
      </c>
      <c r="C38" s="73">
        <f t="shared" si="18"/>
        <v>8.055935063318586</v>
      </c>
      <c r="D38" s="74">
        <f t="shared" si="18"/>
        <v>5.301980095527031</v>
      </c>
      <c r="E38" s="74">
        <f t="shared" si="11"/>
        <v>10.603960191054062</v>
      </c>
      <c r="F38" s="74">
        <f t="shared" si="17"/>
        <v>33.31340133621544</v>
      </c>
      <c r="G38" s="73">
        <f t="shared" si="5"/>
        <v>1.3880583890089768</v>
      </c>
      <c r="H38" s="75">
        <f t="shared" si="13"/>
        <v>1.4000583890089768</v>
      </c>
      <c r="I38" s="68">
        <f t="shared" si="14"/>
        <v>0.03876544712644686</v>
      </c>
      <c r="J38" s="56"/>
      <c r="K38" s="69">
        <f t="shared" si="2"/>
        <v>5.301980095527031</v>
      </c>
      <c r="L38" s="70">
        <f t="shared" si="12"/>
        <v>5.9198861307403</v>
      </c>
      <c r="M38" s="34"/>
      <c r="Q38" s="113">
        <f t="shared" si="15"/>
        <v>0.52</v>
      </c>
      <c r="R38" s="109">
        <f t="shared" si="16"/>
        <v>8.727262985261802</v>
      </c>
      <c r="S38" s="99">
        <f t="shared" si="4"/>
        <v>1.4000583890089768</v>
      </c>
    </row>
    <row r="39" spans="1:19" ht="12.75">
      <c r="A39" s="71">
        <v>0.46</v>
      </c>
      <c r="B39" s="72">
        <v>0.30945</v>
      </c>
      <c r="C39" s="73">
        <f t="shared" si="18"/>
        <v>7.720271102346979</v>
      </c>
      <c r="D39" s="74">
        <f t="shared" si="18"/>
        <v>5.193560636133201</v>
      </c>
      <c r="E39" s="74">
        <f t="shared" si="11"/>
        <v>10.387121272266402</v>
      </c>
      <c r="F39" s="74">
        <f t="shared" si="17"/>
        <v>32.63218018895213</v>
      </c>
      <c r="G39" s="73">
        <f t="shared" si="5"/>
        <v>1.3596741745396719</v>
      </c>
      <c r="H39" s="75">
        <f t="shared" si="13"/>
        <v>1.3716741745396719</v>
      </c>
      <c r="I39" s="68">
        <f t="shared" si="14"/>
        <v>0.03789528317348695</v>
      </c>
      <c r="J39" s="56"/>
      <c r="K39" s="69">
        <f t="shared" si="2"/>
        <v>5.193560636133201</v>
      </c>
      <c r="L39" s="70">
        <f t="shared" si="12"/>
        <v>5.602214105657987</v>
      </c>
      <c r="M39" s="34"/>
      <c r="Q39" s="113">
        <f t="shared" si="15"/>
        <v>0.54</v>
      </c>
      <c r="R39" s="109">
        <f t="shared" si="16"/>
        <v>9.062926946233409</v>
      </c>
      <c r="S39" s="99">
        <f t="shared" si="4"/>
        <v>1.3716741745396719</v>
      </c>
    </row>
    <row r="40" spans="1:19" ht="12.75">
      <c r="A40" s="71">
        <v>0.44</v>
      </c>
      <c r="B40" s="72">
        <v>0.30175</v>
      </c>
      <c r="C40" s="73">
        <f t="shared" si="18"/>
        <v>7.384607141375371</v>
      </c>
      <c r="D40" s="74">
        <f t="shared" si="18"/>
        <v>5.064330011159132</v>
      </c>
      <c r="E40" s="74">
        <f t="shared" si="11"/>
        <v>10.128660022318265</v>
      </c>
      <c r="F40" s="74">
        <f t="shared" si="17"/>
        <v>31.820198326115058</v>
      </c>
      <c r="G40" s="73">
        <f t="shared" si="5"/>
        <v>1.3258415969214608</v>
      </c>
      <c r="H40" s="75">
        <f t="shared" si="13"/>
        <v>1.3378415969214608</v>
      </c>
      <c r="I40" s="68">
        <f t="shared" si="14"/>
        <v>0.036881320940164795</v>
      </c>
      <c r="J40" s="56"/>
      <c r="K40" s="69">
        <f t="shared" si="2"/>
        <v>5.064330011159132</v>
      </c>
      <c r="L40" s="70">
        <f t="shared" si="12"/>
        <v>5.292424273249044</v>
      </c>
      <c r="M40" s="34"/>
      <c r="Q40" s="113">
        <f t="shared" si="15"/>
        <v>0.56</v>
      </c>
      <c r="R40" s="109">
        <f t="shared" si="16"/>
        <v>9.398590907205017</v>
      </c>
      <c r="S40" s="99">
        <f t="shared" si="4"/>
        <v>1.3378415969214608</v>
      </c>
    </row>
    <row r="41" spans="1:19" ht="12.75">
      <c r="A41" s="71">
        <v>0.42</v>
      </c>
      <c r="B41" s="72">
        <v>0.29295</v>
      </c>
      <c r="C41" s="73">
        <f t="shared" si="18"/>
        <v>7.0489431804037626</v>
      </c>
      <c r="D41" s="74">
        <f t="shared" si="18"/>
        <v>4.916637868331625</v>
      </c>
      <c r="E41" s="74">
        <f t="shared" si="11"/>
        <v>9.83327573666325</v>
      </c>
      <c r="F41" s="74">
        <f t="shared" si="17"/>
        <v>30.892219054301265</v>
      </c>
      <c r="G41" s="73">
        <f t="shared" si="5"/>
        <v>1.2871757939292194</v>
      </c>
      <c r="H41" s="75">
        <f t="shared" si="13"/>
        <v>1.2991757939292194</v>
      </c>
      <c r="I41" s="68">
        <f t="shared" si="14"/>
        <v>0.03573892349062269</v>
      </c>
      <c r="J41" s="56"/>
      <c r="K41" s="69">
        <f t="shared" si="2"/>
        <v>4.916637868331625</v>
      </c>
      <c r="L41" s="70">
        <f t="shared" si="12"/>
        <v>4.990998783878672</v>
      </c>
      <c r="M41" s="34"/>
      <c r="Q41" s="113">
        <f t="shared" si="15"/>
        <v>0.5800000000000001</v>
      </c>
      <c r="R41" s="109">
        <f t="shared" si="16"/>
        <v>9.734254868176626</v>
      </c>
      <c r="S41" s="99">
        <f t="shared" si="4"/>
        <v>1.2991757939292194</v>
      </c>
    </row>
    <row r="42" spans="1:19" ht="12.75">
      <c r="A42" s="71">
        <v>0.39999999999999947</v>
      </c>
      <c r="B42" s="72">
        <v>0.28316</v>
      </c>
      <c r="C42" s="73">
        <f t="shared" si="18"/>
        <v>6.713279219432146</v>
      </c>
      <c r="D42" s="74">
        <f t="shared" si="18"/>
        <v>4.752330359436023</v>
      </c>
      <c r="E42" s="74">
        <f t="shared" si="11"/>
        <v>9.504660718872046</v>
      </c>
      <c r="F42" s="74">
        <f t="shared" si="17"/>
        <v>29.85984211440842</v>
      </c>
      <c r="G42" s="73">
        <f t="shared" si="5"/>
        <v>1.2441600881003507</v>
      </c>
      <c r="H42" s="75">
        <f t="shared" si="13"/>
        <v>1.2561600881003507</v>
      </c>
      <c r="I42" s="68">
        <f t="shared" si="14"/>
        <v>0.034482839366433655</v>
      </c>
      <c r="J42" s="56"/>
      <c r="K42" s="69">
        <f t="shared" si="2"/>
        <v>4.752330359436023</v>
      </c>
      <c r="L42" s="70">
        <f t="shared" si="12"/>
        <v>4.698298703223274</v>
      </c>
      <c r="M42" s="34"/>
      <c r="Q42" s="113">
        <f t="shared" si="15"/>
        <v>0.6000000000000005</v>
      </c>
      <c r="R42" s="109">
        <f t="shared" si="16"/>
        <v>10.069918829148243</v>
      </c>
      <c r="S42" s="99">
        <f t="shared" si="4"/>
        <v>1.2561600881003507</v>
      </c>
    </row>
    <row r="43" spans="1:19" ht="12.75">
      <c r="A43" s="71">
        <v>0.37999999999999945</v>
      </c>
      <c r="B43" s="72">
        <v>0.27251</v>
      </c>
      <c r="C43" s="73">
        <f t="shared" si="18"/>
        <v>6.377615258460538</v>
      </c>
      <c r="D43" s="74">
        <f t="shared" si="18"/>
        <v>4.573589300218641</v>
      </c>
      <c r="E43" s="74">
        <f t="shared" si="11"/>
        <v>9.147178600437282</v>
      </c>
      <c r="F43" s="74">
        <f t="shared" si="17"/>
        <v>28.736776291133765</v>
      </c>
      <c r="G43" s="73">
        <f t="shared" si="5"/>
        <v>1.1973656787972402</v>
      </c>
      <c r="H43" s="75">
        <f t="shared" si="13"/>
        <v>1.2093656787972402</v>
      </c>
      <c r="I43" s="68">
        <f t="shared" si="14"/>
        <v>0.03312658806404448</v>
      </c>
      <c r="J43" s="56"/>
      <c r="K43" s="69">
        <f t="shared" si="2"/>
        <v>4.573589300218641</v>
      </c>
      <c r="L43" s="70">
        <f t="shared" si="12"/>
        <v>4.414182655726837</v>
      </c>
      <c r="M43" s="34"/>
      <c r="Q43" s="113">
        <f t="shared" si="15"/>
        <v>0.6200000000000006</v>
      </c>
      <c r="R43" s="109">
        <f t="shared" si="16"/>
        <v>10.405582790119851</v>
      </c>
      <c r="S43" s="99">
        <f t="shared" si="4"/>
        <v>1.2093656787972402</v>
      </c>
    </row>
    <row r="44" spans="1:19" ht="12.75">
      <c r="A44" s="71">
        <v>0.35999999999999943</v>
      </c>
      <c r="B44" s="72">
        <v>0.26109</v>
      </c>
      <c r="C44" s="73">
        <f t="shared" si="18"/>
        <v>6.0419512974889305</v>
      </c>
      <c r="D44" s="74">
        <f t="shared" si="18"/>
        <v>4.381925178503853</v>
      </c>
      <c r="E44" s="74">
        <f aca="true" t="shared" si="19" ref="E44:E59">D44*2</f>
        <v>8.763850357007707</v>
      </c>
      <c r="F44" s="74">
        <f t="shared" si="17"/>
        <v>27.53251228157541</v>
      </c>
      <c r="G44" s="73">
        <f t="shared" si="5"/>
        <v>1.1471880117323088</v>
      </c>
      <c r="H44" s="75">
        <f t="shared" si="13"/>
        <v>1.1591880117323088</v>
      </c>
      <c r="I44" s="68">
        <f t="shared" si="14"/>
        <v>0.0316818455122019</v>
      </c>
      <c r="J44" s="56"/>
      <c r="K44" s="69">
        <f aca="true" t="shared" si="20" ref="K44:K62">D44</f>
        <v>4.381925178503853</v>
      </c>
      <c r="L44" s="70">
        <f aca="true" t="shared" si="21" ref="L44:L59">L45+SQRT(ABS((C44-C45)^2-(D44-D45)^2))</f>
        <v>4.138619307034657</v>
      </c>
      <c r="M44" s="34"/>
      <c r="Q44" s="113">
        <f t="shared" si="15"/>
        <v>0.6400000000000006</v>
      </c>
      <c r="R44" s="109">
        <f t="shared" si="16"/>
        <v>10.741246751091458</v>
      </c>
      <c r="S44" s="99">
        <f aca="true" t="shared" si="22" ref="S44:S62">H44</f>
        <v>1.1591880117323088</v>
      </c>
    </row>
    <row r="45" spans="1:19" ht="12.75">
      <c r="A45" s="71">
        <v>0.3399999999999994</v>
      </c>
      <c r="B45" s="72">
        <v>0.249</v>
      </c>
      <c r="C45" s="73">
        <f t="shared" si="18"/>
        <v>5.706287336517322</v>
      </c>
      <c r="D45" s="74">
        <f t="shared" si="18"/>
        <v>4.179016314096517</v>
      </c>
      <c r="E45" s="74">
        <f t="shared" si="19"/>
        <v>8.358032628193033</v>
      </c>
      <c r="F45" s="74">
        <f t="shared" si="17"/>
        <v>26.257595304731232</v>
      </c>
      <c r="G45" s="73">
        <f t="shared" si="5"/>
        <v>1.094066471030468</v>
      </c>
      <c r="H45" s="75">
        <f aca="true" t="shared" si="23" ref="H45:H60">G45+(2*$C$5/1000)</f>
        <v>1.106066471030468</v>
      </c>
      <c r="I45" s="68">
        <f aca="true" t="shared" si="24" ref="I45:I60">ABS(C45-C46)*H46/12-ABS(C45-C46)*(H46-H45)/24</f>
        <v>0.030160287639653012</v>
      </c>
      <c r="J45" s="56"/>
      <c r="K45" s="69">
        <f t="shared" si="20"/>
        <v>4.179016314096517</v>
      </c>
      <c r="L45" s="70">
        <f t="shared" si="21"/>
        <v>3.8712276702169084</v>
      </c>
      <c r="M45" s="34"/>
      <c r="Q45" s="113">
        <f aca="true" t="shared" si="25" ref="Q45:Q60">1-A45</f>
        <v>0.6600000000000006</v>
      </c>
      <c r="R45" s="109">
        <f aca="true" t="shared" si="26" ref="R45:R60">$G$4-C45</f>
        <v>11.076910712063066</v>
      </c>
      <c r="S45" s="99">
        <f t="shared" si="22"/>
        <v>1.106066471030468</v>
      </c>
    </row>
    <row r="46" spans="1:19" ht="12.75">
      <c r="A46" s="71">
        <v>0.3199999999999994</v>
      </c>
      <c r="B46" s="72">
        <v>0.23633</v>
      </c>
      <c r="C46" s="73">
        <f t="shared" si="18"/>
        <v>5.370623375545714</v>
      </c>
      <c r="D46" s="74">
        <f t="shared" si="18"/>
        <v>3.9663731948210033</v>
      </c>
      <c r="E46" s="74">
        <f t="shared" si="19"/>
        <v>7.9327463896420065</v>
      </c>
      <c r="F46" s="74">
        <f aca="true" t="shared" si="27" ref="F46:F61">E46*3.1416</f>
        <v>24.92151605769933</v>
      </c>
      <c r="G46" s="73">
        <f t="shared" si="5"/>
        <v>1.0383965024041386</v>
      </c>
      <c r="H46" s="75">
        <f t="shared" si="23"/>
        <v>1.0503965024041386</v>
      </c>
      <c r="I46" s="68">
        <f t="shared" si="24"/>
        <v>0.02857297585257952</v>
      </c>
      <c r="J46" s="56"/>
      <c r="K46" s="69">
        <f t="shared" si="20"/>
        <v>3.9663731948210033</v>
      </c>
      <c r="L46" s="70">
        <f t="shared" si="21"/>
        <v>3.6115101341899214</v>
      </c>
      <c r="M46" s="34"/>
      <c r="Q46" s="113">
        <f t="shared" si="25"/>
        <v>0.6800000000000006</v>
      </c>
      <c r="R46" s="109">
        <f t="shared" si="26"/>
        <v>11.412574673034674</v>
      </c>
      <c r="S46" s="99">
        <f t="shared" si="22"/>
        <v>1.0503965024041386</v>
      </c>
    </row>
    <row r="47" spans="1:19" ht="12.75">
      <c r="A47" s="71">
        <v>0.2999999999999994</v>
      </c>
      <c r="B47" s="72">
        <v>0.22317</v>
      </c>
      <c r="C47" s="73">
        <f t="shared" si="18"/>
        <v>5.034959414574106</v>
      </c>
      <c r="D47" s="74">
        <f t="shared" si="18"/>
        <v>3.7455063085016853</v>
      </c>
      <c r="E47" s="74">
        <f t="shared" si="19"/>
        <v>7.491012617003371</v>
      </c>
      <c r="F47" s="74">
        <f t="shared" si="27"/>
        <v>23.53376523757779</v>
      </c>
      <c r="G47" s="73">
        <f t="shared" si="5"/>
        <v>0.9805735515657412</v>
      </c>
      <c r="H47" s="75">
        <f t="shared" si="23"/>
        <v>0.9925735515657412</v>
      </c>
      <c r="I47" s="68">
        <f t="shared" si="24"/>
        <v>0.026929742512032052</v>
      </c>
      <c r="J47" s="56"/>
      <c r="K47" s="69">
        <f t="shared" si="20"/>
        <v>3.7455063085016853</v>
      </c>
      <c r="L47" s="70">
        <f t="shared" si="21"/>
        <v>3.3587491537701615</v>
      </c>
      <c r="M47" s="34"/>
      <c r="Q47" s="113">
        <f t="shared" si="25"/>
        <v>0.7000000000000006</v>
      </c>
      <c r="R47" s="109">
        <f t="shared" si="26"/>
        <v>11.748238634006281</v>
      </c>
      <c r="S47" s="99">
        <f t="shared" si="22"/>
        <v>0.9925735515657412</v>
      </c>
    </row>
    <row r="48" spans="1:19" ht="12.75">
      <c r="A48" s="71">
        <v>0.27999999999999936</v>
      </c>
      <c r="B48" s="72">
        <v>0.20959</v>
      </c>
      <c r="C48" s="73">
        <f t="shared" si="18"/>
        <v>4.699295453602498</v>
      </c>
      <c r="D48" s="74">
        <f t="shared" si="18"/>
        <v>3.5175904790019636</v>
      </c>
      <c r="E48" s="74">
        <f t="shared" si="19"/>
        <v>7.035180958003927</v>
      </c>
      <c r="F48" s="74">
        <f t="shared" si="27"/>
        <v>22.10172449766514</v>
      </c>
      <c r="G48" s="73">
        <f t="shared" si="5"/>
        <v>0.9209051874027141</v>
      </c>
      <c r="H48" s="75">
        <f t="shared" si="23"/>
        <v>0.9329051874027141</v>
      </c>
      <c r="I48" s="68">
        <f t="shared" si="24"/>
        <v>0.02523796188879817</v>
      </c>
      <c r="J48" s="56"/>
      <c r="K48" s="69">
        <f t="shared" si="20"/>
        <v>3.5175904790019636</v>
      </c>
      <c r="L48" s="70">
        <f t="shared" si="21"/>
        <v>3.1123253940419175</v>
      </c>
      <c r="M48" s="34"/>
      <c r="Q48" s="113">
        <f t="shared" si="25"/>
        <v>0.7200000000000006</v>
      </c>
      <c r="R48" s="109">
        <f t="shared" si="26"/>
        <v>12.08390259497789</v>
      </c>
      <c r="S48" s="99">
        <f t="shared" si="22"/>
        <v>0.9329051874027141</v>
      </c>
    </row>
    <row r="49" spans="1:19" ht="12.75">
      <c r="A49" s="71">
        <v>0.25999999999999934</v>
      </c>
      <c r="B49" s="72">
        <v>0.19564</v>
      </c>
      <c r="C49" s="73">
        <f t="shared" si="18"/>
        <v>4.36363149263089</v>
      </c>
      <c r="D49" s="74">
        <f t="shared" si="18"/>
        <v>3.2834648662242674</v>
      </c>
      <c r="E49" s="74">
        <f t="shared" si="19"/>
        <v>6.566929732448535</v>
      </c>
      <c r="F49" s="74">
        <f t="shared" si="27"/>
        <v>20.630666447460317</v>
      </c>
      <c r="G49" s="73">
        <f t="shared" si="5"/>
        <v>0.8596111019775132</v>
      </c>
      <c r="H49" s="75">
        <f t="shared" si="23"/>
        <v>0.8716111019775132</v>
      </c>
      <c r="I49" s="68">
        <f t="shared" si="24"/>
        <v>0.02350500825366569</v>
      </c>
      <c r="J49" s="56"/>
      <c r="K49" s="69">
        <f t="shared" si="20"/>
        <v>3.2834648662242674</v>
      </c>
      <c r="L49" s="70">
        <f t="shared" si="21"/>
        <v>2.87179370769557</v>
      </c>
      <c r="M49" s="34"/>
      <c r="Q49" s="113">
        <f t="shared" si="25"/>
        <v>0.7400000000000007</v>
      </c>
      <c r="R49" s="109">
        <f t="shared" si="26"/>
        <v>12.419566555949498</v>
      </c>
      <c r="S49" s="99">
        <f t="shared" si="22"/>
        <v>0.8716111019775132</v>
      </c>
    </row>
    <row r="50" spans="1:19" ht="12.75">
      <c r="A50" s="71">
        <v>0.23999999999999932</v>
      </c>
      <c r="B50" s="72">
        <v>0.18139</v>
      </c>
      <c r="C50" s="73">
        <f t="shared" si="18"/>
        <v>4.027967531659282</v>
      </c>
      <c r="D50" s="74">
        <f t="shared" si="18"/>
        <v>3.0443042940319964</v>
      </c>
      <c r="E50" s="74">
        <f t="shared" si="19"/>
        <v>6.088608588063993</v>
      </c>
      <c r="F50" s="74">
        <f t="shared" si="27"/>
        <v>19.12797274026184</v>
      </c>
      <c r="G50" s="73">
        <f t="shared" si="5"/>
        <v>0.7969988641775766</v>
      </c>
      <c r="H50" s="75">
        <f t="shared" si="23"/>
        <v>0.8089988641775766</v>
      </c>
      <c r="I50" s="68">
        <f t="shared" si="24"/>
        <v>0.021738255877422598</v>
      </c>
      <c r="J50" s="56"/>
      <c r="K50" s="69">
        <f t="shared" si="20"/>
        <v>3.0443042940319964</v>
      </c>
      <c r="L50" s="70">
        <f t="shared" si="21"/>
        <v>2.636267667938149</v>
      </c>
      <c r="M50" s="34"/>
      <c r="Q50" s="113">
        <f t="shared" si="25"/>
        <v>0.7600000000000007</v>
      </c>
      <c r="R50" s="109">
        <f t="shared" si="26"/>
        <v>12.755230516921106</v>
      </c>
      <c r="S50" s="99">
        <f t="shared" si="22"/>
        <v>0.8089988641775766</v>
      </c>
    </row>
    <row r="51" spans="1:19" ht="12.75">
      <c r="A51" s="71">
        <v>0.2199999999999993</v>
      </c>
      <c r="B51" s="72">
        <v>0.16689</v>
      </c>
      <c r="C51" s="73">
        <f t="shared" si="18"/>
        <v>3.692303570687674</v>
      </c>
      <c r="D51" s="74">
        <f t="shared" si="18"/>
        <v>2.8009479223275813</v>
      </c>
      <c r="E51" s="74">
        <f t="shared" si="19"/>
        <v>5.6018958446551625</v>
      </c>
      <c r="F51" s="74">
        <f t="shared" si="27"/>
        <v>17.59891598556866</v>
      </c>
      <c r="G51" s="73">
        <f t="shared" si="5"/>
        <v>0.7332881660653608</v>
      </c>
      <c r="H51" s="75">
        <f t="shared" si="23"/>
        <v>0.7452881660653609</v>
      </c>
      <c r="I51" s="68">
        <f t="shared" si="24"/>
        <v>0.019943235463159556</v>
      </c>
      <c r="J51" s="56"/>
      <c r="K51" s="69">
        <f t="shared" si="20"/>
        <v>2.8009479223275813</v>
      </c>
      <c r="L51" s="70">
        <f t="shared" si="21"/>
        <v>2.4050794955633235</v>
      </c>
      <c r="M51" s="34"/>
      <c r="Q51" s="113">
        <f t="shared" si="25"/>
        <v>0.7800000000000007</v>
      </c>
      <c r="R51" s="109">
        <f t="shared" si="26"/>
        <v>13.090894477892714</v>
      </c>
      <c r="S51" s="99">
        <f t="shared" si="22"/>
        <v>0.7452881660653609</v>
      </c>
    </row>
    <row r="52" spans="1:19" ht="12.75">
      <c r="A52" s="71">
        <v>0.1999999999999993</v>
      </c>
      <c r="B52" s="72">
        <v>0.15218</v>
      </c>
      <c r="C52" s="73">
        <f aca="true" t="shared" si="28" ref="C52:D62">$G$4*A52</f>
        <v>3.3566396097160656</v>
      </c>
      <c r="D52" s="74">
        <f t="shared" si="28"/>
        <v>2.5540670790329636</v>
      </c>
      <c r="E52" s="74">
        <f t="shared" si="19"/>
        <v>5.108134158065927</v>
      </c>
      <c r="F52" s="74">
        <f t="shared" si="27"/>
        <v>16.047714270979917</v>
      </c>
      <c r="G52" s="73">
        <f t="shared" si="5"/>
        <v>0.6686547612908299</v>
      </c>
      <c r="H52" s="75">
        <f t="shared" si="23"/>
        <v>0.6806547612908299</v>
      </c>
      <c r="I52" s="68">
        <f t="shared" si="24"/>
        <v>0.018124863191401795</v>
      </c>
      <c r="J52" s="56"/>
      <c r="K52" s="69">
        <f t="shared" si="20"/>
        <v>2.5540670790329636</v>
      </c>
      <c r="L52" s="70">
        <f t="shared" si="21"/>
        <v>2.1776588634533764</v>
      </c>
      <c r="M52" s="34"/>
      <c r="Q52" s="113">
        <f t="shared" si="25"/>
        <v>0.8000000000000007</v>
      </c>
      <c r="R52" s="109">
        <f t="shared" si="26"/>
        <v>13.426558438864323</v>
      </c>
      <c r="S52" s="99">
        <f t="shared" si="22"/>
        <v>0.6806547612908299</v>
      </c>
    </row>
    <row r="53" spans="1:19" ht="12.75">
      <c r="A53" s="71">
        <v>0.17999999999999927</v>
      </c>
      <c r="B53" s="72">
        <v>0.1373</v>
      </c>
      <c r="C53" s="73">
        <f t="shared" si="28"/>
        <v>3.0209756487444577</v>
      </c>
      <c r="D53" s="74">
        <f t="shared" si="28"/>
        <v>2.3043330920700873</v>
      </c>
      <c r="E53" s="74">
        <f t="shared" si="19"/>
        <v>4.608666184140175</v>
      </c>
      <c r="F53" s="74">
        <f t="shared" si="27"/>
        <v>14.478585684094773</v>
      </c>
      <c r="G53" s="73">
        <f t="shared" si="5"/>
        <v>0.6032744035039489</v>
      </c>
      <c r="H53" s="75">
        <f t="shared" si="23"/>
        <v>0.6152744035039489</v>
      </c>
      <c r="I53" s="68">
        <f t="shared" si="24"/>
        <v>0.016287440720108914</v>
      </c>
      <c r="J53" s="56"/>
      <c r="K53" s="69">
        <f t="shared" si="20"/>
        <v>2.3043330920700873</v>
      </c>
      <c r="L53" s="70">
        <f t="shared" si="21"/>
        <v>1.9533750467149076</v>
      </c>
      <c r="M53" s="34"/>
      <c r="Q53" s="113">
        <f t="shared" si="25"/>
        <v>0.8200000000000007</v>
      </c>
      <c r="R53" s="109">
        <f t="shared" si="26"/>
        <v>13.762222399835931</v>
      </c>
      <c r="S53" s="99">
        <f t="shared" si="22"/>
        <v>0.6152744035039489</v>
      </c>
    </row>
    <row r="54" spans="1:19" ht="12.75">
      <c r="A54" s="71">
        <v>0.15999999999999925</v>
      </c>
      <c r="B54" s="72">
        <v>0.12228</v>
      </c>
      <c r="C54" s="73">
        <f t="shared" si="28"/>
        <v>2.68531168777285</v>
      </c>
      <c r="D54" s="74">
        <f t="shared" si="28"/>
        <v>2.0522494573804098</v>
      </c>
      <c r="E54" s="74">
        <f t="shared" si="19"/>
        <v>4.1044989147608195</v>
      </c>
      <c r="F54" s="74">
        <f t="shared" si="27"/>
        <v>12.89469379061259</v>
      </c>
      <c r="G54" s="73">
        <f t="shared" si="5"/>
        <v>0.5372789079421912</v>
      </c>
      <c r="H54" s="75">
        <f t="shared" si="23"/>
        <v>0.5492789079421913</v>
      </c>
      <c r="I54" s="68">
        <f t="shared" si="24"/>
        <v>0.014435269707240458</v>
      </c>
      <c r="J54" s="56"/>
      <c r="K54" s="69">
        <f t="shared" si="20"/>
        <v>2.0522494573804098</v>
      </c>
      <c r="L54" s="70">
        <f t="shared" si="21"/>
        <v>1.7317353936363342</v>
      </c>
      <c r="M54" s="34"/>
      <c r="Q54" s="113">
        <f t="shared" si="25"/>
        <v>0.8400000000000007</v>
      </c>
      <c r="R54" s="109">
        <f t="shared" si="26"/>
        <v>14.09788636080754</v>
      </c>
      <c r="S54" s="99">
        <f t="shared" si="22"/>
        <v>0.5492789079421913</v>
      </c>
    </row>
    <row r="55" spans="1:19" ht="12.75">
      <c r="A55" s="71">
        <v>0.13999999999999924</v>
      </c>
      <c r="B55" s="72">
        <v>0.10716</v>
      </c>
      <c r="C55" s="73">
        <f t="shared" si="28"/>
        <v>2.3496477268012415</v>
      </c>
      <c r="D55" s="74">
        <f t="shared" si="28"/>
        <v>1.7984875028858744</v>
      </c>
      <c r="E55" s="74">
        <f t="shared" si="19"/>
        <v>3.596975005771749</v>
      </c>
      <c r="F55" s="74">
        <f t="shared" si="27"/>
        <v>11.300256678132525</v>
      </c>
      <c r="G55" s="73">
        <f t="shared" si="5"/>
        <v>0.4708440282555219</v>
      </c>
      <c r="H55" s="75">
        <f t="shared" si="23"/>
        <v>0.4828440282555219</v>
      </c>
      <c r="I55" s="68">
        <f t="shared" si="24"/>
        <v>0.01257142276562462</v>
      </c>
      <c r="J55" s="56"/>
      <c r="K55" s="69">
        <f t="shared" si="20"/>
        <v>1.7984875028858744</v>
      </c>
      <c r="L55" s="70">
        <f t="shared" si="21"/>
        <v>1.512019292391426</v>
      </c>
      <c r="M55" s="34"/>
      <c r="Q55" s="113">
        <f t="shared" si="25"/>
        <v>0.8600000000000008</v>
      </c>
      <c r="R55" s="109">
        <f t="shared" si="26"/>
        <v>14.433550321779148</v>
      </c>
      <c r="S55" s="99">
        <f t="shared" si="22"/>
        <v>0.4828440282555219</v>
      </c>
    </row>
    <row r="56" spans="1:19" ht="12.75">
      <c r="A56" s="76">
        <v>0.11999999999999922</v>
      </c>
      <c r="B56" s="77">
        <v>0.09195</v>
      </c>
      <c r="C56" s="78">
        <f t="shared" si="28"/>
        <v>2.0139837658296336</v>
      </c>
      <c r="D56" s="79">
        <f t="shared" si="28"/>
        <v>1.5432150605669668</v>
      </c>
      <c r="E56" s="79">
        <f t="shared" si="19"/>
        <v>3.0864301211339336</v>
      </c>
      <c r="F56" s="79">
        <f t="shared" si="27"/>
        <v>9.696328868554366</v>
      </c>
      <c r="G56" s="73">
        <f t="shared" si="5"/>
        <v>0.4040137028564319</v>
      </c>
      <c r="H56" s="84">
        <f t="shared" si="23"/>
        <v>0.4160137028564319</v>
      </c>
      <c r="I56" s="81">
        <f t="shared" si="24"/>
        <v>0.010698972508089708</v>
      </c>
      <c r="J56" s="85"/>
      <c r="K56" s="82">
        <f t="shared" si="20"/>
        <v>1.5432150605669668</v>
      </c>
      <c r="L56" s="83">
        <f t="shared" si="21"/>
        <v>1.294059950110144</v>
      </c>
      <c r="M56" s="51"/>
      <c r="Q56" s="113">
        <f t="shared" si="25"/>
        <v>0.8800000000000008</v>
      </c>
      <c r="R56" s="109">
        <f t="shared" si="26"/>
        <v>14.769214282750754</v>
      </c>
      <c r="S56" s="99">
        <f t="shared" si="22"/>
        <v>0.4160137028564319</v>
      </c>
    </row>
    <row r="57" spans="1:19" ht="12.75">
      <c r="A57" s="76">
        <v>0.0999999999999992</v>
      </c>
      <c r="B57" s="77">
        <v>0.07669</v>
      </c>
      <c r="C57" s="78">
        <f t="shared" si="28"/>
        <v>1.6783198048580255</v>
      </c>
      <c r="D57" s="79">
        <f t="shared" si="28"/>
        <v>1.2871034583456298</v>
      </c>
      <c r="E57" s="79">
        <f t="shared" si="19"/>
        <v>2.5742069166912596</v>
      </c>
      <c r="F57" s="79">
        <f t="shared" si="27"/>
        <v>8.08712844947726</v>
      </c>
      <c r="G57" s="73">
        <f t="shared" si="5"/>
        <v>0.33696368539488586</v>
      </c>
      <c r="H57" s="84">
        <f t="shared" si="23"/>
        <v>0.34896368539488587</v>
      </c>
      <c r="I57" s="81">
        <f t="shared" si="24"/>
        <v>0.008820377024898293</v>
      </c>
      <c r="J57" s="85"/>
      <c r="K57" s="82">
        <f t="shared" si="20"/>
        <v>1.2871034583456298</v>
      </c>
      <c r="L57" s="83">
        <f t="shared" si="21"/>
        <v>1.0770872746351687</v>
      </c>
      <c r="M57" s="51"/>
      <c r="Q57" s="113">
        <f t="shared" si="25"/>
        <v>0.9000000000000008</v>
      </c>
      <c r="R57" s="109">
        <f t="shared" si="26"/>
        <v>15.104878243722363</v>
      </c>
      <c r="S57" s="99">
        <f t="shared" si="22"/>
        <v>0.34896368539488587</v>
      </c>
    </row>
    <row r="58" spans="1:19" ht="12.75">
      <c r="A58" s="71">
        <v>0.07999999999999918</v>
      </c>
      <c r="B58" s="72">
        <v>0.06138</v>
      </c>
      <c r="C58" s="73">
        <f t="shared" si="28"/>
        <v>1.3426558438864173</v>
      </c>
      <c r="D58" s="74">
        <f t="shared" si="28"/>
        <v>1.0301526962218641</v>
      </c>
      <c r="E58" s="74">
        <f t="shared" si="19"/>
        <v>2.0603053924437282</v>
      </c>
      <c r="F58" s="74">
        <f t="shared" si="27"/>
        <v>6.472655420901217</v>
      </c>
      <c r="G58" s="73">
        <f t="shared" si="5"/>
        <v>0.269693975870884</v>
      </c>
      <c r="H58" s="75">
        <f t="shared" si="23"/>
        <v>0.281693975870884</v>
      </c>
      <c r="I58" s="68">
        <f t="shared" si="24"/>
        <v>0.0069374798837473295</v>
      </c>
      <c r="J58" s="56"/>
      <c r="K58" s="69">
        <f t="shared" si="20"/>
        <v>1.0301526962218641</v>
      </c>
      <c r="L58" s="70">
        <f t="shared" si="21"/>
        <v>0.8611090337423297</v>
      </c>
      <c r="M58" s="34"/>
      <c r="Q58" s="113">
        <f t="shared" si="25"/>
        <v>0.9200000000000008</v>
      </c>
      <c r="R58" s="109">
        <f t="shared" si="26"/>
        <v>15.44054220469397</v>
      </c>
      <c r="S58" s="99">
        <f t="shared" si="22"/>
        <v>0.281693975870884</v>
      </c>
    </row>
    <row r="59" spans="1:19" ht="12.75">
      <c r="A59" s="71">
        <v>0.059999999999999165</v>
      </c>
      <c r="B59" s="72">
        <v>0.04605</v>
      </c>
      <c r="C59" s="73">
        <f t="shared" si="28"/>
        <v>1.0069918829148092</v>
      </c>
      <c r="D59" s="74">
        <f t="shared" si="28"/>
        <v>0.7728662701371269</v>
      </c>
      <c r="E59" s="74">
        <f t="shared" si="19"/>
        <v>1.5457325402742539</v>
      </c>
      <c r="F59" s="74">
        <f t="shared" si="27"/>
        <v>4.856073348525596</v>
      </c>
      <c r="G59" s="73">
        <f t="shared" si="5"/>
        <v>0.20233638952189983</v>
      </c>
      <c r="H59" s="75">
        <f t="shared" si="23"/>
        <v>0.21433638952189984</v>
      </c>
      <c r="I59" s="68">
        <f t="shared" si="24"/>
        <v>0.005052739174899416</v>
      </c>
      <c r="J59" s="56"/>
      <c r="K59" s="69">
        <f t="shared" si="20"/>
        <v>0.7728662701371269</v>
      </c>
      <c r="L59" s="70">
        <f t="shared" si="21"/>
        <v>0.6455307657102938</v>
      </c>
      <c r="M59" s="34"/>
      <c r="Q59" s="113">
        <f t="shared" si="25"/>
        <v>0.9400000000000008</v>
      </c>
      <c r="R59" s="109">
        <f t="shared" si="26"/>
        <v>15.77620616566558</v>
      </c>
      <c r="S59" s="99">
        <f t="shared" si="22"/>
        <v>0.21433638952189984</v>
      </c>
    </row>
    <row r="60" spans="1:19" ht="12.75">
      <c r="A60" s="71">
        <v>0.03999999999999915</v>
      </c>
      <c r="B60" s="72">
        <v>0.03071</v>
      </c>
      <c r="C60" s="73">
        <f t="shared" si="28"/>
        <v>0.6713279219432012</v>
      </c>
      <c r="D60" s="74">
        <f t="shared" si="28"/>
        <v>0.5154120120719038</v>
      </c>
      <c r="E60" s="74">
        <f>D60*2</f>
        <v>1.0308240241438076</v>
      </c>
      <c r="F60" s="74">
        <f t="shared" si="27"/>
        <v>3.238436754250186</v>
      </c>
      <c r="G60" s="73">
        <f t="shared" si="5"/>
        <v>0.1349348647604244</v>
      </c>
      <c r="H60" s="75">
        <f t="shared" si="23"/>
        <v>0.14693486476042442</v>
      </c>
      <c r="I60" s="68">
        <f t="shared" si="24"/>
        <v>0.0031661548983545527</v>
      </c>
      <c r="J60" s="56"/>
      <c r="K60" s="69">
        <f t="shared" si="20"/>
        <v>0.5154120120719038</v>
      </c>
      <c r="L60" s="70">
        <f>L61+SQRT(ABS((C60-C61)^2-(D60-D61)^2))</f>
        <v>0.43015295882380267</v>
      </c>
      <c r="M60" s="34"/>
      <c r="Q60" s="113">
        <f t="shared" si="25"/>
        <v>0.9600000000000009</v>
      </c>
      <c r="R60" s="109">
        <f t="shared" si="26"/>
        <v>16.111870126637186</v>
      </c>
      <c r="S60" s="99">
        <f t="shared" si="22"/>
        <v>0.14693486476042442</v>
      </c>
    </row>
    <row r="61" spans="1:19" ht="12.75">
      <c r="A61" s="71">
        <v>0.01999999999999913</v>
      </c>
      <c r="B61" s="72">
        <v>0.01535</v>
      </c>
      <c r="C61" s="73">
        <f t="shared" si="28"/>
        <v>0.3356639609715932</v>
      </c>
      <c r="D61" s="74">
        <f t="shared" si="28"/>
        <v>0.25762209004570896</v>
      </c>
      <c r="E61" s="74">
        <f>D61*2</f>
        <v>0.5152441800914179</v>
      </c>
      <c r="F61" s="74">
        <f t="shared" si="27"/>
        <v>1.6186911161751985</v>
      </c>
      <c r="G61" s="73">
        <f t="shared" si="5"/>
        <v>0.0674454631739666</v>
      </c>
      <c r="H61" s="75">
        <f>G61+(2*$C$5/1000)</f>
        <v>0.0794454631739666</v>
      </c>
      <c r="I61" s="68">
        <f>ABS(C61-C62)*H62/12-ABS(C61-C62)*(H62-H61)/24</f>
        <v>0.0012789560992440396</v>
      </c>
      <c r="J61" s="56"/>
      <c r="K61" s="69">
        <f t="shared" si="20"/>
        <v>0.25762209004570896</v>
      </c>
      <c r="L61" s="70">
        <f>L62+SQRT(ABS((C61-C62)^2-(D61-D62)^2))</f>
        <v>0.21517702808531833</v>
      </c>
      <c r="M61" s="34"/>
      <c r="Q61" s="113">
        <f>1-A61</f>
        <v>0.9800000000000009</v>
      </c>
      <c r="R61" s="109">
        <f>$G$4-C61</f>
        <v>16.447534087608794</v>
      </c>
      <c r="S61" s="99">
        <f t="shared" si="22"/>
        <v>0.0794454631739666</v>
      </c>
    </row>
    <row r="62" spans="1:20" ht="12.75">
      <c r="A62" s="86">
        <v>-8.881784197001252E-16</v>
      </c>
      <c r="B62" s="87">
        <v>0</v>
      </c>
      <c r="C62" s="88">
        <f t="shared" si="28"/>
        <v>-1.4906474320302355E-14</v>
      </c>
      <c r="D62" s="89">
        <f t="shared" si="28"/>
        <v>0</v>
      </c>
      <c r="E62" s="89">
        <f>D62*2</f>
        <v>0</v>
      </c>
      <c r="F62" s="89">
        <f>E62*3.1416</f>
        <v>0</v>
      </c>
      <c r="G62" s="73">
        <f t="shared" si="5"/>
        <v>0</v>
      </c>
      <c r="H62" s="90">
        <f>G62+(2*$C$5/1000)</f>
        <v>0.012</v>
      </c>
      <c r="I62" s="91">
        <f>ABS(C62-C63)*H63/12-ABS(C62-C63)*(H63-H62)/24</f>
        <v>7.453237160151178E-18</v>
      </c>
      <c r="J62" s="56"/>
      <c r="K62" s="69">
        <f t="shared" si="20"/>
        <v>0</v>
      </c>
      <c r="L62" s="56">
        <v>0</v>
      </c>
      <c r="M62" s="34"/>
      <c r="Q62" s="114">
        <f>1-A62</f>
        <v>1.0000000000000009</v>
      </c>
      <c r="R62" s="110">
        <f>$G$4-C62</f>
        <v>16.783198048580402</v>
      </c>
      <c r="S62" s="97">
        <f t="shared" si="22"/>
        <v>0.012</v>
      </c>
      <c r="T62" s="101" t="s">
        <v>66</v>
      </c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1"/>
      <c r="B64" s="31"/>
      <c r="C64" s="31"/>
      <c r="D64" s="31"/>
      <c r="E64" s="31"/>
      <c r="F64" s="31"/>
      <c r="G64" s="31"/>
      <c r="H64" s="31"/>
      <c r="I64" s="33"/>
      <c r="J64" s="33"/>
      <c r="K64" s="33"/>
      <c r="L64" s="33"/>
      <c r="M64" s="33"/>
    </row>
  </sheetData>
  <printOptions/>
  <pageMargins left="0.75" right="0.75" top="0" bottom="0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C8">
      <selection activeCell="I64" sqref="I64"/>
    </sheetView>
  </sheetViews>
  <sheetFormatPr defaultColWidth="9.140625" defaultRowHeight="12.75"/>
  <cols>
    <col min="1" max="8" width="10.28125" style="33" customWidth="1"/>
    <col min="9" max="9" width="9.140625" style="33" customWidth="1"/>
    <col min="10" max="10" width="10.57421875" style="33" customWidth="1"/>
    <col min="11" max="13" width="9.140625" style="33" customWidth="1"/>
    <col min="14" max="14" width="5.7109375" style="33" customWidth="1"/>
    <col min="15" max="16" width="12.00390625" style="33" customWidth="1"/>
    <col min="17" max="17" width="10.00390625" style="33" customWidth="1"/>
    <col min="18" max="18" width="9.28125" style="33" customWidth="1"/>
    <col min="19" max="16384" width="9.140625" style="33" customWidth="1"/>
  </cols>
  <sheetData>
    <row r="1" ht="20.25">
      <c r="A1" s="32" t="s">
        <v>24</v>
      </c>
    </row>
    <row r="2" ht="15">
      <c r="A2" s="45" t="s">
        <v>46</v>
      </c>
    </row>
    <row r="3" spans="1:13" ht="12.75">
      <c r="A3" s="34"/>
      <c r="B3" s="34" t="s">
        <v>26</v>
      </c>
      <c r="C3" s="35">
        <v>42377</v>
      </c>
      <c r="D3" s="33" t="s">
        <v>27</v>
      </c>
      <c r="G3" s="36" t="s">
        <v>21</v>
      </c>
      <c r="M3" s="34"/>
    </row>
    <row r="4" spans="1:13" ht="12.75">
      <c r="A4" s="34"/>
      <c r="B4" s="34" t="s">
        <v>28</v>
      </c>
      <c r="C4" s="37">
        <v>0.75</v>
      </c>
      <c r="D4" s="33" t="s">
        <v>29</v>
      </c>
      <c r="G4" s="31">
        <f>(C3/0.12586)^(1/3)</f>
        <v>69.56874363015218</v>
      </c>
      <c r="M4" s="34"/>
    </row>
    <row r="5" spans="1:13" ht="12.75">
      <c r="A5" s="34"/>
      <c r="B5" s="34" t="s">
        <v>6</v>
      </c>
      <c r="C5" s="37">
        <v>16</v>
      </c>
      <c r="D5" s="33" t="s">
        <v>52</v>
      </c>
      <c r="M5" s="34"/>
    </row>
    <row r="6" spans="1:13" ht="12.75">
      <c r="A6" s="34"/>
      <c r="B6" s="34" t="s">
        <v>30</v>
      </c>
      <c r="C6" s="37">
        <v>60</v>
      </c>
      <c r="D6" s="33" t="s">
        <v>29</v>
      </c>
      <c r="M6" s="34"/>
    </row>
    <row r="7" spans="1:13" ht="12.75">
      <c r="A7" s="34"/>
      <c r="B7" s="34"/>
      <c r="C7" s="37"/>
      <c r="M7" s="34"/>
    </row>
    <row r="8" ht="12.75">
      <c r="M8" s="34"/>
    </row>
    <row r="9" ht="12.75">
      <c r="M9" s="34"/>
    </row>
    <row r="10" spans="2:13" ht="12.75">
      <c r="B10" s="38"/>
      <c r="C10" s="39"/>
      <c r="M10" s="34"/>
    </row>
    <row r="11" spans="1:13" ht="12.75">
      <c r="A11" s="40"/>
      <c r="B11" s="40" t="s">
        <v>31</v>
      </c>
      <c r="C11" s="40" t="s">
        <v>32</v>
      </c>
      <c r="D11" s="40"/>
      <c r="E11" s="40"/>
      <c r="F11" s="40" t="s">
        <v>33</v>
      </c>
      <c r="G11" s="40" t="s">
        <v>58</v>
      </c>
      <c r="H11" s="40" t="s">
        <v>59</v>
      </c>
      <c r="K11" s="33" t="s">
        <v>31</v>
      </c>
      <c r="L11" s="33" t="s">
        <v>36</v>
      </c>
      <c r="M11" s="34"/>
    </row>
    <row r="12" spans="1:13" ht="12.75">
      <c r="A12" s="40" t="s">
        <v>37</v>
      </c>
      <c r="B12" s="40" t="s">
        <v>38</v>
      </c>
      <c r="C12" s="40" t="s">
        <v>39</v>
      </c>
      <c r="D12" s="40" t="s">
        <v>31</v>
      </c>
      <c r="E12" s="40" t="s">
        <v>40</v>
      </c>
      <c r="F12" s="40" t="s">
        <v>41</v>
      </c>
      <c r="G12" s="40" t="s">
        <v>32</v>
      </c>
      <c r="H12" s="40" t="s">
        <v>32</v>
      </c>
      <c r="L12" s="33" t="s">
        <v>42</v>
      </c>
      <c r="M12" s="34"/>
    </row>
    <row r="13" spans="1:13" ht="12.75">
      <c r="A13" s="40"/>
      <c r="B13" s="40"/>
      <c r="C13" s="40" t="s">
        <v>43</v>
      </c>
      <c r="D13" s="40" t="s">
        <v>43</v>
      </c>
      <c r="E13" s="40" t="s">
        <v>43</v>
      </c>
      <c r="F13" s="40" t="s">
        <v>29</v>
      </c>
      <c r="G13" s="40" t="s">
        <v>29</v>
      </c>
      <c r="H13" s="40" t="s">
        <v>29</v>
      </c>
      <c r="L13" s="33" t="s">
        <v>44</v>
      </c>
      <c r="M13" s="34"/>
    </row>
    <row r="14" spans="1:12" ht="12.75">
      <c r="A14" s="31">
        <v>1</v>
      </c>
      <c r="B14" s="30">
        <v>0</v>
      </c>
      <c r="C14" s="31">
        <f aca="true" t="shared" si="0" ref="C14:D33">$G$4*A14</f>
        <v>69.56874363015218</v>
      </c>
      <c r="D14" s="31">
        <f t="shared" si="0"/>
        <v>0</v>
      </c>
      <c r="E14" s="31">
        <f aca="true" t="shared" si="1" ref="E14:E45">D14*2</f>
        <v>0</v>
      </c>
      <c r="F14" s="31">
        <f aca="true" t="shared" si="2" ref="F14:F45">E14*12*3.1416</f>
        <v>0</v>
      </c>
      <c r="G14" s="31">
        <f aca="true" t="shared" si="3" ref="G14:G45">F14/(2*$C$5)</f>
        <v>0</v>
      </c>
      <c r="H14" s="31">
        <f aca="true" t="shared" si="4" ref="H14:H45">G14+(2*$C$4)</f>
        <v>1.5</v>
      </c>
      <c r="I14" s="41">
        <f>ABS(C14-C15)*H15/12-ABS(C14-C15)*(H15-H14)/24</f>
        <v>0.3639812013205934</v>
      </c>
      <c r="K14" s="31">
        <f aca="true" t="shared" si="5" ref="K14:K45">D14</f>
        <v>0</v>
      </c>
      <c r="L14" s="42">
        <f aca="true" t="shared" si="6" ref="L14:L45">L15+SQRT(ABS((C14-C15)^2-(D14-D15)^2))</f>
        <v>44.801542344770134</v>
      </c>
    </row>
    <row r="15" spans="1:13" ht="12.75">
      <c r="A15" s="31">
        <v>0.98</v>
      </c>
      <c r="B15" s="30">
        <v>0.02</v>
      </c>
      <c r="C15" s="31">
        <f t="shared" si="0"/>
        <v>68.17736875754913</v>
      </c>
      <c r="D15" s="31">
        <f t="shared" si="0"/>
        <v>1.3913748726030437</v>
      </c>
      <c r="E15" s="31">
        <f t="shared" si="1"/>
        <v>2.7827497452060874</v>
      </c>
      <c r="F15" s="31">
        <f t="shared" si="2"/>
        <v>104.90743919447333</v>
      </c>
      <c r="G15" s="31">
        <f t="shared" si="3"/>
        <v>3.2783574748272915</v>
      </c>
      <c r="H15" s="31">
        <f t="shared" si="4"/>
        <v>4.778357474827292</v>
      </c>
      <c r="I15" s="41">
        <f aca="true" t="shared" si="7" ref="I15:I30">ABS(C15-C16)*H16/12-ABS(C15-C16)*(H16-H15)/24</f>
        <v>0.7440998858110097</v>
      </c>
      <c r="K15" s="31">
        <f t="shared" si="5"/>
        <v>1.3913748726030437</v>
      </c>
      <c r="L15" s="42">
        <f t="shared" si="6"/>
        <v>44.801542193539866</v>
      </c>
      <c r="M15" s="34"/>
    </row>
    <row r="16" spans="1:13" ht="12.75">
      <c r="A16" s="31">
        <v>0.96</v>
      </c>
      <c r="B16" s="30">
        <v>0.04</v>
      </c>
      <c r="C16" s="31">
        <f t="shared" si="0"/>
        <v>66.7859938849461</v>
      </c>
      <c r="D16" s="31">
        <f t="shared" si="0"/>
        <v>2.7827497452060874</v>
      </c>
      <c r="E16" s="31">
        <f t="shared" si="1"/>
        <v>5.565499490412175</v>
      </c>
      <c r="F16" s="31">
        <f t="shared" si="2"/>
        <v>209.81487838894665</v>
      </c>
      <c r="G16" s="31">
        <f t="shared" si="3"/>
        <v>6.556714949654583</v>
      </c>
      <c r="H16" s="31">
        <f t="shared" si="4"/>
        <v>8.056714949654584</v>
      </c>
      <c r="I16" s="41">
        <f t="shared" si="7"/>
        <v>1.1241235406303187</v>
      </c>
      <c r="K16" s="31">
        <f t="shared" si="5"/>
        <v>2.7827497452060874</v>
      </c>
      <c r="L16" s="42">
        <f t="shared" si="6"/>
        <v>44.801542064492025</v>
      </c>
      <c r="M16" s="34"/>
    </row>
    <row r="17" spans="1:13" ht="12.75">
      <c r="A17" s="31">
        <v>0.94</v>
      </c>
      <c r="B17" s="30">
        <v>0.05999</v>
      </c>
      <c r="C17" s="31">
        <f t="shared" si="0"/>
        <v>65.39461901234304</v>
      </c>
      <c r="D17" s="31">
        <f t="shared" si="0"/>
        <v>4.17342893037283</v>
      </c>
      <c r="E17" s="31">
        <f t="shared" si="1"/>
        <v>8.34685786074566</v>
      </c>
      <c r="F17" s="31">
        <f t="shared" si="2"/>
        <v>314.6698638638228</v>
      </c>
      <c r="G17" s="31">
        <f t="shared" si="3"/>
        <v>9.833433245744462</v>
      </c>
      <c r="H17" s="31">
        <f t="shared" si="4"/>
        <v>11.333433245744462</v>
      </c>
      <c r="I17" s="41">
        <f t="shared" si="7"/>
        <v>1.5039571361073436</v>
      </c>
      <c r="K17" s="31">
        <f t="shared" si="5"/>
        <v>4.17342893037283</v>
      </c>
      <c r="L17" s="42">
        <f t="shared" si="6"/>
        <v>44.757548427962135</v>
      </c>
      <c r="M17" s="34"/>
    </row>
    <row r="18" spans="1:13" ht="12.75">
      <c r="A18" s="31">
        <v>0.92</v>
      </c>
      <c r="B18" s="30">
        <v>0.07997</v>
      </c>
      <c r="C18" s="31">
        <f t="shared" si="0"/>
        <v>64.00324413974002</v>
      </c>
      <c r="D18" s="31">
        <f t="shared" si="0"/>
        <v>5.56341242810327</v>
      </c>
      <c r="E18" s="31">
        <f t="shared" si="1"/>
        <v>11.12682485620654</v>
      </c>
      <c r="F18" s="31">
        <f t="shared" si="2"/>
        <v>419.4723956191016</v>
      </c>
      <c r="G18" s="31">
        <f t="shared" si="3"/>
        <v>13.108512363096924</v>
      </c>
      <c r="H18" s="31">
        <f t="shared" si="4"/>
        <v>14.608512363096924</v>
      </c>
      <c r="I18" s="41">
        <f t="shared" si="7"/>
        <v>1.883125523886572</v>
      </c>
      <c r="K18" s="31">
        <f t="shared" si="5"/>
        <v>5.56341242810327</v>
      </c>
      <c r="L18" s="42">
        <f t="shared" si="6"/>
        <v>44.69533981000504</v>
      </c>
      <c r="M18" s="34"/>
    </row>
    <row r="19" spans="1:13" s="49" customFormat="1" ht="12.75">
      <c r="A19" s="46">
        <v>0.9</v>
      </c>
      <c r="B19" s="47">
        <v>0.09989</v>
      </c>
      <c r="C19" s="46">
        <f t="shared" si="0"/>
        <v>62.61186926713697</v>
      </c>
      <c r="D19" s="46">
        <f t="shared" si="0"/>
        <v>6.949221801215902</v>
      </c>
      <c r="E19" s="46">
        <f t="shared" si="1"/>
        <v>13.898443602431804</v>
      </c>
      <c r="F19" s="46">
        <f t="shared" si="2"/>
        <v>523.9602050567971</v>
      </c>
      <c r="G19" s="46">
        <f t="shared" si="3"/>
        <v>16.37375640802491</v>
      </c>
      <c r="H19" s="46">
        <f t="shared" si="4"/>
        <v>17.87375640802491</v>
      </c>
      <c r="I19" s="48">
        <f t="shared" si="7"/>
        <v>2.2610585259411646</v>
      </c>
      <c r="K19" s="46">
        <f t="shared" si="5"/>
        <v>6.949221801215902</v>
      </c>
      <c r="L19" s="50">
        <f t="shared" si="6"/>
        <v>44.57101596875031</v>
      </c>
      <c r="M19" s="51"/>
    </row>
    <row r="20" spans="1:13" s="49" customFormat="1" ht="12.75">
      <c r="A20" s="46">
        <v>0.88</v>
      </c>
      <c r="B20" s="47">
        <v>0.11974</v>
      </c>
      <c r="C20" s="46">
        <f t="shared" si="0"/>
        <v>61.22049439453392</v>
      </c>
      <c r="D20" s="46">
        <f t="shared" si="0"/>
        <v>8.330161362274422</v>
      </c>
      <c r="E20" s="46">
        <f t="shared" si="1"/>
        <v>16.660322724548845</v>
      </c>
      <c r="F20" s="46">
        <f t="shared" si="2"/>
        <v>628.0808384573118</v>
      </c>
      <c r="G20" s="46">
        <f t="shared" si="3"/>
        <v>19.627526201790992</v>
      </c>
      <c r="H20" s="46">
        <f t="shared" si="4"/>
        <v>21.127526201790992</v>
      </c>
      <c r="I20" s="48">
        <f t="shared" si="7"/>
        <v>2.6369008752310688</v>
      </c>
      <c r="K20" s="46">
        <f t="shared" si="5"/>
        <v>8.330161362274422</v>
      </c>
      <c r="L20" s="50">
        <f t="shared" si="6"/>
        <v>44.40092785977546</v>
      </c>
      <c r="M20" s="51"/>
    </row>
    <row r="21" spans="1:13" ht="12.75">
      <c r="A21" s="31">
        <v>0.86</v>
      </c>
      <c r="B21" s="30">
        <v>0.13944</v>
      </c>
      <c r="C21" s="31">
        <f t="shared" si="0"/>
        <v>59.82911952193088</v>
      </c>
      <c r="D21" s="31">
        <f t="shared" si="0"/>
        <v>9.700665611788422</v>
      </c>
      <c r="E21" s="31">
        <f t="shared" si="1"/>
        <v>19.401331223576843</v>
      </c>
      <c r="F21" s="31">
        <f t="shared" si="2"/>
        <v>731.414666063868</v>
      </c>
      <c r="G21" s="31">
        <f t="shared" si="3"/>
        <v>22.856708314495876</v>
      </c>
      <c r="H21" s="31">
        <f t="shared" si="4"/>
        <v>24.356708314495876</v>
      </c>
      <c r="I21" s="41">
        <f t="shared" si="7"/>
        <v>3.009132097018315</v>
      </c>
      <c r="K21" s="31">
        <f t="shared" si="5"/>
        <v>9.700665611788422</v>
      </c>
      <c r="L21" s="42">
        <f t="shared" si="6"/>
        <v>44.16084008796021</v>
      </c>
      <c r="M21" s="34"/>
    </row>
    <row r="22" spans="1:13" ht="12.75">
      <c r="A22" s="31">
        <v>0.84</v>
      </c>
      <c r="B22" s="30">
        <v>0.15891</v>
      </c>
      <c r="C22" s="31">
        <f t="shared" si="0"/>
        <v>58.43774464932783</v>
      </c>
      <c r="D22" s="31">
        <f t="shared" si="0"/>
        <v>11.055169050267484</v>
      </c>
      <c r="E22" s="31">
        <f t="shared" si="1"/>
        <v>22.110338100534968</v>
      </c>
      <c r="F22" s="31">
        <f t="shared" si="2"/>
        <v>833.5420581196879</v>
      </c>
      <c r="G22" s="31">
        <f t="shared" si="3"/>
        <v>26.048189316240247</v>
      </c>
      <c r="H22" s="31">
        <f t="shared" si="4"/>
        <v>27.548189316240247</v>
      </c>
      <c r="I22" s="41">
        <f t="shared" si="7"/>
        <v>3.376041657222695</v>
      </c>
      <c r="K22" s="31">
        <f t="shared" si="5"/>
        <v>11.055169050267484</v>
      </c>
      <c r="L22" s="42">
        <f t="shared" si="6"/>
        <v>43.84265072412236</v>
      </c>
      <c r="M22" s="34"/>
    </row>
    <row r="23" spans="1:13" ht="12.75">
      <c r="A23" s="31">
        <v>0.82</v>
      </c>
      <c r="B23" s="30">
        <v>0.17805</v>
      </c>
      <c r="C23" s="31">
        <f t="shared" si="0"/>
        <v>57.04636977672479</v>
      </c>
      <c r="D23" s="31">
        <f t="shared" si="0"/>
        <v>12.386714803348598</v>
      </c>
      <c r="E23" s="31">
        <f t="shared" si="1"/>
        <v>24.773429606697196</v>
      </c>
      <c r="F23" s="31">
        <f t="shared" si="2"/>
        <v>933.9384774287989</v>
      </c>
      <c r="G23" s="31">
        <f t="shared" si="3"/>
        <v>29.185577419649967</v>
      </c>
      <c r="H23" s="31">
        <f t="shared" si="4"/>
        <v>30.685577419649967</v>
      </c>
      <c r="I23" s="41">
        <f t="shared" si="7"/>
        <v>3.7354438734083693</v>
      </c>
      <c r="K23" s="31">
        <f t="shared" si="5"/>
        <v>12.386714803348598</v>
      </c>
      <c r="L23" s="42">
        <f t="shared" si="6"/>
        <v>43.4390296845781</v>
      </c>
      <c r="M23" s="34"/>
    </row>
    <row r="24" spans="1:13" ht="12.75">
      <c r="A24" s="31">
        <v>0.8</v>
      </c>
      <c r="B24" s="30">
        <v>0.19673</v>
      </c>
      <c r="C24" s="31">
        <f t="shared" si="0"/>
        <v>55.65499490412175</v>
      </c>
      <c r="D24" s="31">
        <f t="shared" si="0"/>
        <v>13.686258934359838</v>
      </c>
      <c r="E24" s="31">
        <f t="shared" si="1"/>
        <v>27.372517868719676</v>
      </c>
      <c r="F24" s="31">
        <f t="shared" si="2"/>
        <v>1031.9220256364367</v>
      </c>
      <c r="G24" s="31">
        <f t="shared" si="3"/>
        <v>32.24756330113865</v>
      </c>
      <c r="H24" s="31">
        <f t="shared" si="4"/>
        <v>33.74756330113865</v>
      </c>
      <c r="I24" s="41">
        <f t="shared" si="7"/>
        <v>4.0846779147839625</v>
      </c>
      <c r="K24" s="31">
        <f t="shared" si="5"/>
        <v>13.686258934359838</v>
      </c>
      <c r="L24" s="42">
        <f t="shared" si="6"/>
        <v>42.94192900295982</v>
      </c>
      <c r="M24" s="34"/>
    </row>
    <row r="25" spans="1:13" ht="12.75">
      <c r="A25" s="31">
        <v>0.78</v>
      </c>
      <c r="B25" s="30">
        <v>0.2148</v>
      </c>
      <c r="C25" s="31">
        <f t="shared" si="0"/>
        <v>54.263620031518705</v>
      </c>
      <c r="D25" s="31">
        <f t="shared" si="0"/>
        <v>14.943366131756688</v>
      </c>
      <c r="E25" s="31">
        <f t="shared" si="1"/>
        <v>29.886732263513377</v>
      </c>
      <c r="F25" s="31">
        <f t="shared" si="2"/>
        <v>1126.7058969486434</v>
      </c>
      <c r="G25" s="31">
        <f t="shared" si="3"/>
        <v>35.209559279645106</v>
      </c>
      <c r="H25" s="31">
        <f t="shared" si="4"/>
        <v>36.709559279645106</v>
      </c>
      <c r="I25" s="41">
        <f t="shared" si="7"/>
        <v>4.420797861544618</v>
      </c>
      <c r="K25" s="31">
        <f t="shared" si="5"/>
        <v>14.943366131756688</v>
      </c>
      <c r="L25" s="42">
        <f t="shared" si="6"/>
        <v>42.34560230528129</v>
      </c>
      <c r="M25" s="34"/>
    </row>
    <row r="26" spans="1:13" ht="12.75">
      <c r="A26" s="31">
        <v>0.76</v>
      </c>
      <c r="B26" s="30">
        <v>0.2321</v>
      </c>
      <c r="C26" s="31">
        <f t="shared" si="0"/>
        <v>52.87224515891566</v>
      </c>
      <c r="D26" s="31">
        <f t="shared" si="0"/>
        <v>16.14690539655832</v>
      </c>
      <c r="E26" s="31">
        <f t="shared" si="1"/>
        <v>32.29381079311664</v>
      </c>
      <c r="F26" s="31">
        <f t="shared" si="2"/>
        <v>1217.4508318518629</v>
      </c>
      <c r="G26" s="31">
        <f t="shared" si="3"/>
        <v>38.045338495370714</v>
      </c>
      <c r="H26" s="31">
        <f t="shared" si="4"/>
        <v>39.545338495370714</v>
      </c>
      <c r="I26" s="41">
        <f t="shared" si="7"/>
        <v>4.740477675201063</v>
      </c>
      <c r="K26" s="31">
        <f t="shared" si="5"/>
        <v>16.14690539655832</v>
      </c>
      <c r="L26" s="42">
        <f t="shared" si="6"/>
        <v>41.64744954678793</v>
      </c>
      <c r="M26" s="34"/>
    </row>
    <row r="27" spans="1:13" ht="12.75">
      <c r="A27" s="31">
        <v>0.74</v>
      </c>
      <c r="B27" s="30">
        <v>0.24844</v>
      </c>
      <c r="C27" s="31">
        <f t="shared" si="0"/>
        <v>51.480870286312616</v>
      </c>
      <c r="D27" s="31">
        <f t="shared" si="0"/>
        <v>17.28365866747501</v>
      </c>
      <c r="E27" s="31">
        <f t="shared" si="1"/>
        <v>34.56731733495002</v>
      </c>
      <c r="F27" s="31">
        <f t="shared" si="2"/>
        <v>1303.1602096737477</v>
      </c>
      <c r="G27" s="31">
        <f t="shared" si="3"/>
        <v>40.723756552304614</v>
      </c>
      <c r="H27" s="31">
        <f t="shared" si="4"/>
        <v>42.223756552304614</v>
      </c>
      <c r="I27" s="41">
        <f t="shared" si="7"/>
        <v>5.040201257921761</v>
      </c>
      <c r="K27" s="31">
        <f t="shared" si="5"/>
        <v>17.28365866747501</v>
      </c>
      <c r="L27" s="42">
        <f t="shared" si="6"/>
        <v>40.8451303851251</v>
      </c>
      <c r="M27" s="34"/>
    </row>
    <row r="28" spans="1:13" ht="12.75">
      <c r="A28" s="31">
        <v>0.72</v>
      </c>
      <c r="B28" s="30">
        <v>0.26364</v>
      </c>
      <c r="C28" s="31">
        <f t="shared" si="0"/>
        <v>50.08949541370957</v>
      </c>
      <c r="D28" s="31">
        <f t="shared" si="0"/>
        <v>18.34110357065332</v>
      </c>
      <c r="E28" s="31">
        <f t="shared" si="1"/>
        <v>36.68220714130664</v>
      </c>
      <c r="F28" s="31">
        <f t="shared" si="2"/>
        <v>1382.8898634615473</v>
      </c>
      <c r="G28" s="31">
        <f t="shared" si="3"/>
        <v>43.21530823317335</v>
      </c>
      <c r="H28" s="31">
        <f t="shared" si="4"/>
        <v>44.71530823317335</v>
      </c>
      <c r="I28" s="41">
        <f t="shared" si="7"/>
        <v>5.316452511875175</v>
      </c>
      <c r="K28" s="31">
        <f t="shared" si="5"/>
        <v>18.34110357065332</v>
      </c>
      <c r="L28" s="42">
        <f t="shared" si="6"/>
        <v>39.94084375310329</v>
      </c>
      <c r="M28" s="34"/>
    </row>
    <row r="29" spans="1:13" ht="12.75">
      <c r="A29" s="31">
        <v>0.7</v>
      </c>
      <c r="B29" s="30">
        <v>0.27751</v>
      </c>
      <c r="C29" s="31">
        <f t="shared" si="0"/>
        <v>48.698120541106526</v>
      </c>
      <c r="D29" s="31">
        <f t="shared" si="0"/>
        <v>19.30602204480353</v>
      </c>
      <c r="E29" s="31">
        <f t="shared" si="1"/>
        <v>38.61204408960706</v>
      </c>
      <c r="F29" s="31">
        <f t="shared" si="2"/>
        <v>1455.6431725429145</v>
      </c>
      <c r="G29" s="31">
        <f t="shared" si="3"/>
        <v>45.48884914196608</v>
      </c>
      <c r="H29" s="31">
        <f t="shared" si="4"/>
        <v>46.98884914196608</v>
      </c>
      <c r="I29" s="41">
        <f t="shared" si="7"/>
        <v>5.565905398571985</v>
      </c>
      <c r="K29" s="31">
        <f t="shared" si="5"/>
        <v>19.30602204480353</v>
      </c>
      <c r="L29" s="42">
        <f t="shared" si="6"/>
        <v>38.93841850683563</v>
      </c>
      <c r="M29" s="34"/>
    </row>
    <row r="30" spans="1:13" ht="12.75">
      <c r="A30" s="31">
        <v>0.68</v>
      </c>
      <c r="B30" s="30">
        <v>0.28989</v>
      </c>
      <c r="C30" s="31">
        <f t="shared" si="0"/>
        <v>47.30674566850349</v>
      </c>
      <c r="D30" s="31">
        <f t="shared" si="0"/>
        <v>20.167283090944814</v>
      </c>
      <c r="E30" s="31">
        <f t="shared" si="1"/>
        <v>40.33456618188963</v>
      </c>
      <c r="F30" s="31">
        <f t="shared" si="2"/>
        <v>1520.5808774042935</v>
      </c>
      <c r="G30" s="31">
        <f t="shared" si="3"/>
        <v>47.51815241888417</v>
      </c>
      <c r="H30" s="31">
        <f t="shared" si="4"/>
        <v>49.01815241888417</v>
      </c>
      <c r="I30" s="41">
        <f t="shared" si="7"/>
        <v>5.785709027878602</v>
      </c>
      <c r="K30" s="31">
        <f t="shared" si="5"/>
        <v>20.167283090944814</v>
      </c>
      <c r="L30" s="42">
        <f t="shared" si="6"/>
        <v>37.84564522453471</v>
      </c>
      <c r="M30" s="34"/>
    </row>
    <row r="31" spans="1:13" ht="12.75">
      <c r="A31" s="31">
        <v>0.66</v>
      </c>
      <c r="B31" s="30">
        <v>0.30064</v>
      </c>
      <c r="C31" s="31">
        <f t="shared" si="0"/>
        <v>45.915370795900444</v>
      </c>
      <c r="D31" s="31">
        <f t="shared" si="0"/>
        <v>20.915147084968954</v>
      </c>
      <c r="E31" s="31">
        <f t="shared" si="1"/>
        <v>41.83029416993791</v>
      </c>
      <c r="F31" s="31">
        <f t="shared" si="2"/>
        <v>1576.9686259713233</v>
      </c>
      <c r="G31" s="31">
        <f t="shared" si="3"/>
        <v>49.28026956160385</v>
      </c>
      <c r="H31" s="31">
        <f t="shared" si="4"/>
        <v>50.78026956160385</v>
      </c>
      <c r="I31" s="41">
        <f aca="true" t="shared" si="8" ref="I31:I46">ABS(C31-C32)*H32/12-ABS(C31-C32)*(H32-H31)/24</f>
        <v>5.973202569003502</v>
      </c>
      <c r="K31" s="31">
        <f t="shared" si="5"/>
        <v>20.915147084968954</v>
      </c>
      <c r="L31" s="42">
        <f t="shared" si="6"/>
        <v>36.67234923351053</v>
      </c>
      <c r="M31" s="34"/>
    </row>
    <row r="32" spans="1:13" ht="12.75">
      <c r="A32" s="31">
        <v>0.64</v>
      </c>
      <c r="B32" s="30">
        <v>0.30962</v>
      </c>
      <c r="C32" s="31">
        <f t="shared" si="0"/>
        <v>44.5239959232974</v>
      </c>
      <c r="D32" s="31">
        <f t="shared" si="0"/>
        <v>21.53987440276772</v>
      </c>
      <c r="E32" s="31">
        <f t="shared" si="1"/>
        <v>43.07974880553544</v>
      </c>
      <c r="F32" s="31">
        <f t="shared" si="2"/>
        <v>1624.0720661696414</v>
      </c>
      <c r="G32" s="31">
        <f t="shared" si="3"/>
        <v>50.752252067801294</v>
      </c>
      <c r="H32" s="31">
        <f t="shared" si="4"/>
        <v>52.252252067801294</v>
      </c>
      <c r="I32" s="41">
        <f t="shared" si="8"/>
        <v>6.126485428524264</v>
      </c>
      <c r="K32" s="31">
        <f t="shared" si="5"/>
        <v>21.53987440276772</v>
      </c>
      <c r="L32" s="42">
        <f t="shared" si="6"/>
        <v>35.42911159954544</v>
      </c>
      <c r="M32" s="34"/>
    </row>
    <row r="33" spans="1:13" ht="12.75">
      <c r="A33" s="31">
        <v>0.62</v>
      </c>
      <c r="B33" s="30">
        <v>0.31677</v>
      </c>
      <c r="C33" s="31">
        <f t="shared" si="0"/>
        <v>43.132621050694354</v>
      </c>
      <c r="D33" s="31">
        <f t="shared" si="0"/>
        <v>22.037290919723308</v>
      </c>
      <c r="E33" s="31">
        <f t="shared" si="1"/>
        <v>44.074581839446616</v>
      </c>
      <c r="F33" s="31">
        <f t="shared" si="2"/>
        <v>1661.576475681666</v>
      </c>
      <c r="G33" s="31">
        <f t="shared" si="3"/>
        <v>51.92426486505206</v>
      </c>
      <c r="H33" s="31">
        <f t="shared" si="4"/>
        <v>53.42426486505206</v>
      </c>
      <c r="I33" s="41">
        <f t="shared" si="8"/>
        <v>6.244417250387419</v>
      </c>
      <c r="K33" s="31">
        <f t="shared" si="5"/>
        <v>22.037290919723308</v>
      </c>
      <c r="L33" s="42">
        <f t="shared" si="6"/>
        <v>34.12968832563855</v>
      </c>
      <c r="M33" s="34"/>
    </row>
    <row r="34" spans="1:13" ht="12.75">
      <c r="A34" s="31">
        <v>0.6</v>
      </c>
      <c r="B34" s="30">
        <v>0.32203</v>
      </c>
      <c r="C34" s="31">
        <f aca="true" t="shared" si="9" ref="C34:D53">$G$4*A34</f>
        <v>41.74124617809131</v>
      </c>
      <c r="D34" s="31">
        <f t="shared" si="9"/>
        <v>22.40322251121791</v>
      </c>
      <c r="E34" s="31">
        <f t="shared" si="1"/>
        <v>44.80644502243582</v>
      </c>
      <c r="F34" s="31">
        <f t="shared" si="2"/>
        <v>1689.1671321898125</v>
      </c>
      <c r="G34" s="31">
        <f t="shared" si="3"/>
        <v>52.78647288093164</v>
      </c>
      <c r="H34" s="31">
        <f t="shared" si="4"/>
        <v>54.28647288093164</v>
      </c>
      <c r="I34" s="41">
        <f t="shared" si="8"/>
        <v>6.326427856566227</v>
      </c>
      <c r="K34" s="31">
        <f t="shared" si="5"/>
        <v>22.40322251121791</v>
      </c>
      <c r="L34" s="42">
        <f t="shared" si="6"/>
        <v>32.78729564595895</v>
      </c>
      <c r="M34" s="34"/>
    </row>
    <row r="35" spans="1:13" ht="12.75">
      <c r="A35" s="31">
        <v>0.58</v>
      </c>
      <c r="B35" s="30">
        <v>0.3254</v>
      </c>
      <c r="C35" s="31">
        <f t="shared" si="9"/>
        <v>40.349871305488264</v>
      </c>
      <c r="D35" s="31">
        <f t="shared" si="9"/>
        <v>22.63766917725152</v>
      </c>
      <c r="E35" s="31">
        <f t="shared" si="1"/>
        <v>45.27533835450304</v>
      </c>
      <c r="F35" s="31">
        <f t="shared" si="2"/>
        <v>1706.844035694081</v>
      </c>
      <c r="G35" s="31">
        <f t="shared" si="3"/>
        <v>53.33887611544003</v>
      </c>
      <c r="H35" s="31">
        <f t="shared" si="4"/>
        <v>54.83887611544003</v>
      </c>
      <c r="I35" s="41">
        <f t="shared" si="8"/>
        <v>6.372802336074025</v>
      </c>
      <c r="K35" s="31">
        <f t="shared" si="5"/>
        <v>22.63766917725152</v>
      </c>
      <c r="L35" s="42">
        <f t="shared" si="6"/>
        <v>31.415815133192957</v>
      </c>
      <c r="M35" s="34"/>
    </row>
    <row r="36" spans="1:13" ht="12.75">
      <c r="A36" s="31">
        <v>0.56</v>
      </c>
      <c r="B36" s="30">
        <v>0.32691</v>
      </c>
      <c r="C36" s="31">
        <f t="shared" si="9"/>
        <v>38.95849643288523</v>
      </c>
      <c r="D36" s="31">
        <f t="shared" si="9"/>
        <v>22.742717980133047</v>
      </c>
      <c r="E36" s="31">
        <f t="shared" si="1"/>
        <v>45.485435960266095</v>
      </c>
      <c r="F36" s="31">
        <f t="shared" si="2"/>
        <v>1714.7645473532634</v>
      </c>
      <c r="G36" s="31">
        <f t="shared" si="3"/>
        <v>53.58639210478948</v>
      </c>
      <c r="H36" s="31">
        <f t="shared" si="4"/>
        <v>55.08639210478948</v>
      </c>
      <c r="I36" s="41">
        <f t="shared" si="8"/>
        <v>6.384395955951015</v>
      </c>
      <c r="K36" s="31">
        <f t="shared" si="5"/>
        <v>22.742717980133047</v>
      </c>
      <c r="L36" s="42">
        <f t="shared" si="6"/>
        <v>30.028411520279874</v>
      </c>
      <c r="M36" s="34"/>
    </row>
    <row r="37" spans="1:13" ht="12.75">
      <c r="A37" s="31">
        <v>0.54</v>
      </c>
      <c r="B37" s="30">
        <v>0.32662</v>
      </c>
      <c r="C37" s="31">
        <f t="shared" si="9"/>
        <v>37.56712156028218</v>
      </c>
      <c r="D37" s="31">
        <f t="shared" si="9"/>
        <v>22.722543044480307</v>
      </c>
      <c r="E37" s="31">
        <f t="shared" si="1"/>
        <v>45.445086088960615</v>
      </c>
      <c r="F37" s="31">
        <f t="shared" si="2"/>
        <v>1713.2433894849441</v>
      </c>
      <c r="G37" s="31">
        <f t="shared" si="3"/>
        <v>53.538855921404505</v>
      </c>
      <c r="H37" s="31">
        <f t="shared" si="4"/>
        <v>55.038855921404505</v>
      </c>
      <c r="I37" s="41">
        <f t="shared" si="8"/>
        <v>6.3625391315928175</v>
      </c>
      <c r="K37" s="31">
        <f t="shared" si="5"/>
        <v>22.722543044480307</v>
      </c>
      <c r="L37" s="42">
        <f t="shared" si="6"/>
        <v>28.63718292364935</v>
      </c>
      <c r="M37" s="34"/>
    </row>
    <row r="38" spans="1:13" ht="12.75">
      <c r="A38" s="31">
        <v>0.52</v>
      </c>
      <c r="B38" s="30">
        <v>0.32461</v>
      </c>
      <c r="C38" s="31">
        <f t="shared" si="9"/>
        <v>36.17574668767914</v>
      </c>
      <c r="D38" s="31">
        <f t="shared" si="9"/>
        <v>22.582709869783702</v>
      </c>
      <c r="E38" s="31">
        <f t="shared" si="1"/>
        <v>45.165419739567405</v>
      </c>
      <c r="F38" s="31">
        <f t="shared" si="2"/>
        <v>1702.7001918458996</v>
      </c>
      <c r="G38" s="31">
        <f t="shared" si="3"/>
        <v>53.20938099518436</v>
      </c>
      <c r="H38" s="31">
        <f t="shared" si="4"/>
        <v>54.70938099518436</v>
      </c>
      <c r="I38" s="41">
        <f t="shared" si="8"/>
        <v>6.309132456421913</v>
      </c>
      <c r="K38" s="31">
        <f t="shared" si="5"/>
        <v>22.582709869783702</v>
      </c>
      <c r="L38" s="42">
        <f t="shared" si="6"/>
        <v>27.252852500894214</v>
      </c>
      <c r="M38" s="34"/>
    </row>
    <row r="39" spans="1:13" ht="12.75">
      <c r="A39" s="31">
        <v>0.5</v>
      </c>
      <c r="B39" s="30">
        <v>0.321</v>
      </c>
      <c r="C39" s="31">
        <f t="shared" si="9"/>
        <v>34.78437181507609</v>
      </c>
      <c r="D39" s="31">
        <f t="shared" si="9"/>
        <v>22.331566705278853</v>
      </c>
      <c r="E39" s="31">
        <f t="shared" si="1"/>
        <v>44.663133410557705</v>
      </c>
      <c r="F39" s="31">
        <f t="shared" si="2"/>
        <v>1683.7643990712972</v>
      </c>
      <c r="G39" s="31">
        <f t="shared" si="3"/>
        <v>52.61763747097804</v>
      </c>
      <c r="H39" s="31">
        <f t="shared" si="4"/>
        <v>54.11763747097804</v>
      </c>
      <c r="I39" s="41">
        <f t="shared" si="8"/>
        <v>6.226456642545245</v>
      </c>
      <c r="K39" s="31">
        <f t="shared" si="5"/>
        <v>22.331566705278853</v>
      </c>
      <c r="L39" s="42">
        <f t="shared" si="6"/>
        <v>25.88433098223489</v>
      </c>
      <c r="M39" s="34"/>
    </row>
    <row r="40" spans="1:13" ht="12.75">
      <c r="A40" s="31">
        <v>0.48</v>
      </c>
      <c r="B40" s="30">
        <v>0.31591</v>
      </c>
      <c r="C40" s="31">
        <f t="shared" si="9"/>
        <v>33.39299694247305</v>
      </c>
      <c r="D40" s="31">
        <f t="shared" si="9"/>
        <v>21.97746180020138</v>
      </c>
      <c r="E40" s="31">
        <f t="shared" si="1"/>
        <v>43.95492360040276</v>
      </c>
      <c r="F40" s="31">
        <f t="shared" si="2"/>
        <v>1657.0654557963035</v>
      </c>
      <c r="G40" s="31">
        <f t="shared" si="3"/>
        <v>51.78329549363448</v>
      </c>
      <c r="H40" s="31">
        <f t="shared" si="4"/>
        <v>53.28329549363448</v>
      </c>
      <c r="I40" s="41">
        <f t="shared" si="8"/>
        <v>6.116697372398606</v>
      </c>
      <c r="K40" s="31">
        <f t="shared" si="5"/>
        <v>21.97746180020138</v>
      </c>
      <c r="L40" s="42">
        <f t="shared" si="6"/>
        <v>24.538770224665313</v>
      </c>
      <c r="M40" s="34"/>
    </row>
    <row r="41" spans="1:13" ht="12.75">
      <c r="A41" s="31">
        <v>0.46</v>
      </c>
      <c r="B41" s="30">
        <v>0.30945</v>
      </c>
      <c r="C41" s="31">
        <f t="shared" si="9"/>
        <v>32.00162206987001</v>
      </c>
      <c r="D41" s="31">
        <f t="shared" si="9"/>
        <v>21.528047716350592</v>
      </c>
      <c r="E41" s="31">
        <f t="shared" si="1"/>
        <v>43.056095432701184</v>
      </c>
      <c r="F41" s="31">
        <f t="shared" si="2"/>
        <v>1623.1803529364886</v>
      </c>
      <c r="G41" s="31">
        <f t="shared" si="3"/>
        <v>50.72438602926527</v>
      </c>
      <c r="H41" s="31">
        <f t="shared" si="4"/>
        <v>52.22438602926527</v>
      </c>
      <c r="I41" s="41">
        <f t="shared" si="8"/>
        <v>5.982135358089042</v>
      </c>
      <c r="K41" s="31">
        <f t="shared" si="5"/>
        <v>21.528047716350592</v>
      </c>
      <c r="L41" s="42">
        <f t="shared" si="6"/>
        <v>23.221974486007387</v>
      </c>
      <c r="M41" s="34"/>
    </row>
    <row r="42" spans="1:13" ht="12.75">
      <c r="A42" s="31">
        <v>0.44</v>
      </c>
      <c r="B42" s="30">
        <v>0.30175</v>
      </c>
      <c r="C42" s="31">
        <f t="shared" si="9"/>
        <v>30.61024719726696</v>
      </c>
      <c r="D42" s="31">
        <f t="shared" si="9"/>
        <v>20.992368390398422</v>
      </c>
      <c r="E42" s="31">
        <f t="shared" si="1"/>
        <v>41.984736780796844</v>
      </c>
      <c r="F42" s="31">
        <f t="shared" si="2"/>
        <v>1582.7909888466163</v>
      </c>
      <c r="G42" s="31">
        <f t="shared" si="3"/>
        <v>49.46221840145676</v>
      </c>
      <c r="H42" s="31">
        <f t="shared" si="4"/>
        <v>50.96221840145676</v>
      </c>
      <c r="I42" s="41">
        <f t="shared" si="8"/>
        <v>5.825336400736727</v>
      </c>
      <c r="K42" s="31">
        <f t="shared" si="5"/>
        <v>20.992368390398422</v>
      </c>
      <c r="L42" s="42">
        <f t="shared" si="6"/>
        <v>21.93785155736754</v>
      </c>
      <c r="M42" s="34"/>
    </row>
    <row r="43" spans="1:13" ht="12.75">
      <c r="A43" s="31">
        <v>0.42</v>
      </c>
      <c r="B43" s="30">
        <v>0.29295</v>
      </c>
      <c r="C43" s="31">
        <f t="shared" si="9"/>
        <v>29.218872324663916</v>
      </c>
      <c r="D43" s="31">
        <f t="shared" si="9"/>
        <v>20.380163446453082</v>
      </c>
      <c r="E43" s="31">
        <f t="shared" si="1"/>
        <v>40.760326892906164</v>
      </c>
      <c r="F43" s="31">
        <f t="shared" si="2"/>
        <v>1536.631715601048</v>
      </c>
      <c r="G43" s="31">
        <f t="shared" si="3"/>
        <v>48.01974111253275</v>
      </c>
      <c r="H43" s="31">
        <f t="shared" si="4"/>
        <v>49.51974111253275</v>
      </c>
      <c r="I43" s="41">
        <f t="shared" si="8"/>
        <v>5.648676242119948</v>
      </c>
      <c r="K43" s="31">
        <f t="shared" si="5"/>
        <v>20.380163446453082</v>
      </c>
      <c r="L43" s="42">
        <f t="shared" si="6"/>
        <v>20.688400020604302</v>
      </c>
      <c r="M43" s="34"/>
    </row>
    <row r="44" spans="1:13" ht="12.75">
      <c r="A44" s="31">
        <v>0.39999999999999947</v>
      </c>
      <c r="B44" s="30">
        <v>0.28316</v>
      </c>
      <c r="C44" s="31">
        <f t="shared" si="9"/>
        <v>27.827497452060836</v>
      </c>
      <c r="D44" s="31">
        <f t="shared" si="9"/>
        <v>19.699085446313894</v>
      </c>
      <c r="E44" s="31">
        <f t="shared" si="1"/>
        <v>39.39817089262779</v>
      </c>
      <c r="F44" s="31">
        <f t="shared" si="2"/>
        <v>1485.2795241153535</v>
      </c>
      <c r="G44" s="31">
        <f t="shared" si="3"/>
        <v>46.4149851286048</v>
      </c>
      <c r="H44" s="31">
        <f t="shared" si="4"/>
        <v>47.9149851286048</v>
      </c>
      <c r="I44" s="41">
        <f t="shared" si="8"/>
        <v>5.454435594345198</v>
      </c>
      <c r="K44" s="31">
        <f t="shared" si="5"/>
        <v>19.699085446313894</v>
      </c>
      <c r="L44" s="42">
        <f t="shared" si="6"/>
        <v>19.47511654431459</v>
      </c>
      <c r="M44" s="34"/>
    </row>
    <row r="45" spans="1:13" ht="12.75">
      <c r="A45" s="31">
        <v>0.37999999999999945</v>
      </c>
      <c r="B45" s="30">
        <v>0.27251</v>
      </c>
      <c r="C45" s="31">
        <f t="shared" si="9"/>
        <v>26.43612257945779</v>
      </c>
      <c r="D45" s="31">
        <f t="shared" si="9"/>
        <v>18.95817832665277</v>
      </c>
      <c r="E45" s="31">
        <f t="shared" si="1"/>
        <v>37.91635665330554</v>
      </c>
      <c r="F45" s="31">
        <f t="shared" si="2"/>
        <v>1429.4163127442962</v>
      </c>
      <c r="G45" s="31">
        <f t="shared" si="3"/>
        <v>44.669259773259256</v>
      </c>
      <c r="H45" s="31">
        <f t="shared" si="4"/>
        <v>46.169259773259256</v>
      </c>
      <c r="I45" s="41">
        <f t="shared" si="8"/>
        <v>5.244705110177608</v>
      </c>
      <c r="K45" s="31">
        <f t="shared" si="5"/>
        <v>18.95817832665277</v>
      </c>
      <c r="L45" s="42">
        <f t="shared" si="6"/>
        <v>18.29741510670547</v>
      </c>
      <c r="M45" s="34"/>
    </row>
    <row r="46" spans="1:13" ht="12.75">
      <c r="A46" s="31">
        <v>0.35999999999999943</v>
      </c>
      <c r="B46" s="30">
        <v>0.26109</v>
      </c>
      <c r="C46" s="31">
        <f t="shared" si="9"/>
        <v>25.044747706854746</v>
      </c>
      <c r="D46" s="31">
        <f t="shared" si="9"/>
        <v>18.163703274396433</v>
      </c>
      <c r="E46" s="31">
        <f aca="true" t="shared" si="10" ref="E46:E64">D46*2</f>
        <v>36.327406548792865</v>
      </c>
      <c r="F46" s="31">
        <f aca="true" t="shared" si="11" ref="F46:F64">E46*12*3.1416</f>
        <v>1369.514164964252</v>
      </c>
      <c r="G46" s="31">
        <f aca="true" t="shared" si="12" ref="G46:G64">F46/(2*$C$5)</f>
        <v>42.79731765513287</v>
      </c>
      <c r="H46" s="31">
        <f aca="true" t="shared" si="13" ref="H46:H64">G46+(2*$C$4)</f>
        <v>44.29731765513287</v>
      </c>
      <c r="I46" s="41">
        <f t="shared" si="8"/>
        <v>5.021290353368363</v>
      </c>
      <c r="K46" s="31">
        <f aca="true" t="shared" si="14" ref="K46:K64">D46</f>
        <v>18.163703274396433</v>
      </c>
      <c r="L46" s="42">
        <f aca="true" t="shared" si="15" ref="L46:L63">L47+SQRT(ABS((C46-C47)^2-(D46-D47)^2))</f>
        <v>17.15516582241879</v>
      </c>
      <c r="M46" s="34"/>
    </row>
    <row r="47" spans="1:13" ht="12.75">
      <c r="A47" s="31">
        <v>0.3399999999999994</v>
      </c>
      <c r="B47" s="30">
        <v>0.249</v>
      </c>
      <c r="C47" s="31">
        <f t="shared" si="9"/>
        <v>23.6533728342517</v>
      </c>
      <c r="D47" s="31">
        <f t="shared" si="9"/>
        <v>17.322617163907893</v>
      </c>
      <c r="E47" s="31">
        <f t="shared" si="10"/>
        <v>34.645234327815785</v>
      </c>
      <c r="F47" s="31">
        <f t="shared" si="11"/>
        <v>1306.097617971193</v>
      </c>
      <c r="G47" s="31">
        <f t="shared" si="12"/>
        <v>40.81555056159978</v>
      </c>
      <c r="H47" s="31">
        <f t="shared" si="13"/>
        <v>42.31555056159978</v>
      </c>
      <c r="I47" s="41">
        <f aca="true" t="shared" si="16" ref="I47:I62">ABS(C47-C48)*H48/12-ABS(C47-C48)*(H48-H47)/24</f>
        <v>4.785996887668791</v>
      </c>
      <c r="K47" s="31">
        <f t="shared" si="14"/>
        <v>17.322617163907893</v>
      </c>
      <c r="L47" s="42">
        <f t="shared" si="15"/>
        <v>16.046789446428036</v>
      </c>
      <c r="M47" s="34"/>
    </row>
    <row r="48" spans="1:13" ht="12.75">
      <c r="A48" s="31">
        <v>0.3199999999999994</v>
      </c>
      <c r="B48" s="30">
        <v>0.23633</v>
      </c>
      <c r="C48" s="31">
        <f t="shared" si="9"/>
        <v>22.261997961648657</v>
      </c>
      <c r="D48" s="31">
        <f t="shared" si="9"/>
        <v>16.441181182113866</v>
      </c>
      <c r="E48" s="31">
        <f t="shared" si="10"/>
        <v>32.88236236422773</v>
      </c>
      <c r="F48" s="31">
        <f t="shared" si="11"/>
        <v>1239.638755241494</v>
      </c>
      <c r="G48" s="31">
        <f t="shared" si="12"/>
        <v>38.73871110129669</v>
      </c>
      <c r="H48" s="31">
        <f t="shared" si="13"/>
        <v>40.23871110129669</v>
      </c>
      <c r="I48" s="41">
        <f t="shared" si="16"/>
        <v>4.540535247159101</v>
      </c>
      <c r="K48" s="31">
        <f t="shared" si="14"/>
        <v>16.441181182113866</v>
      </c>
      <c r="L48" s="42">
        <f t="shared" si="15"/>
        <v>14.970223309997051</v>
      </c>
      <c r="M48" s="34"/>
    </row>
    <row r="49" spans="1:13" ht="12.75">
      <c r="A49" s="31">
        <v>0.2999999999999994</v>
      </c>
      <c r="B49" s="30">
        <v>0.22317</v>
      </c>
      <c r="C49" s="31">
        <f t="shared" si="9"/>
        <v>20.870623089045612</v>
      </c>
      <c r="D49" s="31">
        <f t="shared" si="9"/>
        <v>15.525656515941064</v>
      </c>
      <c r="E49" s="31">
        <f t="shared" si="10"/>
        <v>31.051313031882128</v>
      </c>
      <c r="F49" s="31">
        <f t="shared" si="11"/>
        <v>1170.6096602515306</v>
      </c>
      <c r="G49" s="31">
        <f t="shared" si="12"/>
        <v>36.58155188286033</v>
      </c>
      <c r="H49" s="31">
        <f t="shared" si="13"/>
        <v>38.08155188286033</v>
      </c>
      <c r="I49" s="41">
        <f t="shared" si="16"/>
        <v>4.2864259065772545</v>
      </c>
      <c r="K49" s="31">
        <f t="shared" si="14"/>
        <v>15.525656515941064</v>
      </c>
      <c r="L49" s="42">
        <f t="shared" si="15"/>
        <v>13.922493086256074</v>
      </c>
      <c r="M49" s="34"/>
    </row>
    <row r="50" spans="1:13" ht="12.75">
      <c r="A50" s="31">
        <v>0.27999999999999936</v>
      </c>
      <c r="B50" s="30">
        <v>0.20959</v>
      </c>
      <c r="C50" s="31">
        <f t="shared" si="9"/>
        <v>19.479248216442567</v>
      </c>
      <c r="D50" s="31">
        <f t="shared" si="9"/>
        <v>14.580912977443596</v>
      </c>
      <c r="E50" s="31">
        <f t="shared" si="10"/>
        <v>29.161825954887192</v>
      </c>
      <c r="F50" s="31">
        <f t="shared" si="11"/>
        <v>1099.3775090384831</v>
      </c>
      <c r="G50" s="31">
        <f t="shared" si="12"/>
        <v>34.3555471574526</v>
      </c>
      <c r="H50" s="31">
        <f t="shared" si="13"/>
        <v>35.8555471574526</v>
      </c>
      <c r="I50" s="41">
        <f t="shared" si="16"/>
        <v>4.024809221976722</v>
      </c>
      <c r="K50" s="31">
        <f t="shared" si="14"/>
        <v>14.580912977443596</v>
      </c>
      <c r="L50" s="42">
        <f t="shared" si="15"/>
        <v>12.901031543867706</v>
      </c>
      <c r="M50" s="34"/>
    </row>
    <row r="51" spans="1:13" ht="12.75">
      <c r="A51" s="31">
        <v>0.25999999999999934</v>
      </c>
      <c r="B51" s="30">
        <v>0.19564</v>
      </c>
      <c r="C51" s="31">
        <f t="shared" si="9"/>
        <v>18.087873343839522</v>
      </c>
      <c r="D51" s="31">
        <f t="shared" si="9"/>
        <v>13.610429003802974</v>
      </c>
      <c r="E51" s="31">
        <f t="shared" si="10"/>
        <v>27.220858007605948</v>
      </c>
      <c r="F51" s="31">
        <f t="shared" si="11"/>
        <v>1026.2045702003381</v>
      </c>
      <c r="G51" s="31">
        <f t="shared" si="12"/>
        <v>32.06889281876057</v>
      </c>
      <c r="H51" s="31">
        <f t="shared" si="13"/>
        <v>33.56889281876057</v>
      </c>
      <c r="I51" s="41">
        <f t="shared" si="16"/>
        <v>3.7568255494109746</v>
      </c>
      <c r="K51" s="31">
        <f t="shared" si="14"/>
        <v>13.610429003802974</v>
      </c>
      <c r="L51" s="42">
        <f t="shared" si="15"/>
        <v>11.90399348390317</v>
      </c>
      <c r="M51" s="34"/>
    </row>
    <row r="52" spans="1:13" ht="12.75">
      <c r="A52" s="31">
        <v>0.23999999999999932</v>
      </c>
      <c r="B52" s="30">
        <v>0.18139</v>
      </c>
      <c r="C52" s="31">
        <f t="shared" si="9"/>
        <v>16.696498471236477</v>
      </c>
      <c r="D52" s="31">
        <f t="shared" si="9"/>
        <v>12.619074407073304</v>
      </c>
      <c r="E52" s="31">
        <f t="shared" si="10"/>
        <v>25.23814881414661</v>
      </c>
      <c r="F52" s="31">
        <f t="shared" si="11"/>
        <v>951.4580197742757</v>
      </c>
      <c r="G52" s="31">
        <f t="shared" si="12"/>
        <v>29.733063117946116</v>
      </c>
      <c r="H52" s="31">
        <f t="shared" si="13"/>
        <v>31.233063117946116</v>
      </c>
      <c r="I52" s="41">
        <f t="shared" si="16"/>
        <v>3.4836152449334836</v>
      </c>
      <c r="K52" s="31">
        <f t="shared" si="14"/>
        <v>12.619074407073304</v>
      </c>
      <c r="L52" s="42">
        <f t="shared" si="15"/>
        <v>10.927704541195073</v>
      </c>
      <c r="M52" s="34"/>
    </row>
    <row r="53" spans="1:13" ht="12.75">
      <c r="A53" s="31">
        <v>0.2199999999999993</v>
      </c>
      <c r="B53" s="30">
        <v>0.16689</v>
      </c>
      <c r="C53" s="31">
        <f t="shared" si="9"/>
        <v>15.305123598633433</v>
      </c>
      <c r="D53" s="31">
        <f t="shared" si="9"/>
        <v>11.6103276244361</v>
      </c>
      <c r="E53" s="31">
        <f t="shared" si="10"/>
        <v>23.2206552488722</v>
      </c>
      <c r="F53" s="31">
        <f t="shared" si="11"/>
        <v>875.4001263582828</v>
      </c>
      <c r="G53" s="31">
        <f t="shared" si="12"/>
        <v>27.356253948696338</v>
      </c>
      <c r="H53" s="31">
        <f t="shared" si="13"/>
        <v>28.856253948696338</v>
      </c>
      <c r="I53" s="41">
        <f t="shared" si="16"/>
        <v>3.206033575584353</v>
      </c>
      <c r="K53" s="31">
        <f t="shared" si="14"/>
        <v>11.6103276244361</v>
      </c>
      <c r="L53" s="42">
        <f t="shared" si="15"/>
        <v>9.969396675929309</v>
      </c>
      <c r="M53" s="34"/>
    </row>
    <row r="54" spans="1:13" ht="12.75">
      <c r="A54" s="31">
        <v>0.1999999999999993</v>
      </c>
      <c r="B54" s="30">
        <v>0.15218</v>
      </c>
      <c r="C54" s="31">
        <f aca="true" t="shared" si="17" ref="C54:D64">$G$4*A54</f>
        <v>13.913748726030388</v>
      </c>
      <c r="D54" s="31">
        <f t="shared" si="17"/>
        <v>10.586971405636561</v>
      </c>
      <c r="E54" s="31">
        <f t="shared" si="10"/>
        <v>21.173942811273122</v>
      </c>
      <c r="F54" s="31">
        <f t="shared" si="11"/>
        <v>798.2407048307476</v>
      </c>
      <c r="G54" s="31">
        <f t="shared" si="12"/>
        <v>24.945022025960863</v>
      </c>
      <c r="H54" s="31">
        <f t="shared" si="13"/>
        <v>26.445022025960863</v>
      </c>
      <c r="I54" s="41">
        <f t="shared" si="16"/>
        <v>2.924840778732564</v>
      </c>
      <c r="K54" s="31">
        <f t="shared" si="14"/>
        <v>10.586971405636561</v>
      </c>
      <c r="L54" s="42">
        <f t="shared" si="15"/>
        <v>9.0267058010634</v>
      </c>
      <c r="M54" s="34"/>
    </row>
    <row r="55" spans="1:13" ht="12.75">
      <c r="A55" s="31">
        <v>0.17999999999999927</v>
      </c>
      <c r="B55" s="30">
        <v>0.1373</v>
      </c>
      <c r="C55" s="31">
        <f t="shared" si="17"/>
        <v>12.522373853427343</v>
      </c>
      <c r="D55" s="31">
        <f t="shared" si="17"/>
        <v>9.551788500419896</v>
      </c>
      <c r="E55" s="31">
        <f t="shared" si="10"/>
        <v>19.103577000839792</v>
      </c>
      <c r="F55" s="31">
        <f t="shared" si="11"/>
        <v>720.1895700700595</v>
      </c>
      <c r="G55" s="31">
        <f t="shared" si="12"/>
        <v>22.50592406468936</v>
      </c>
      <c r="H55" s="31">
        <f t="shared" si="13"/>
        <v>24.00592406468936</v>
      </c>
      <c r="I55" s="41">
        <f t="shared" si="16"/>
        <v>2.6407020620759734</v>
      </c>
      <c r="K55" s="31">
        <f t="shared" si="14"/>
        <v>9.551788500419896</v>
      </c>
      <c r="L55" s="42">
        <f t="shared" si="15"/>
        <v>8.097017472181982</v>
      </c>
      <c r="M55" s="34"/>
    </row>
    <row r="56" spans="1:13" ht="12.75">
      <c r="A56" s="31">
        <v>0.15999999999999925</v>
      </c>
      <c r="B56" s="30">
        <v>0.12228</v>
      </c>
      <c r="C56" s="31">
        <f t="shared" si="17"/>
        <v>11.130998980824298</v>
      </c>
      <c r="D56" s="31">
        <f t="shared" si="17"/>
        <v>8.506865971095008</v>
      </c>
      <c r="E56" s="31">
        <f t="shared" si="10"/>
        <v>17.013731942190017</v>
      </c>
      <c r="F56" s="31">
        <f t="shared" si="11"/>
        <v>641.4040832350098</v>
      </c>
      <c r="G56" s="31">
        <f t="shared" si="12"/>
        <v>20.043877601094056</v>
      </c>
      <c r="H56" s="31">
        <f t="shared" si="13"/>
        <v>21.543877601094056</v>
      </c>
      <c r="I56" s="41">
        <f t="shared" si="16"/>
        <v>2.3542826333124407</v>
      </c>
      <c r="K56" s="31">
        <f t="shared" si="14"/>
        <v>8.506865971095008</v>
      </c>
      <c r="L56" s="42">
        <f t="shared" si="15"/>
        <v>7.178289577851773</v>
      </c>
      <c r="M56" s="34"/>
    </row>
    <row r="57" spans="1:13" ht="12.75">
      <c r="A57" s="31">
        <v>0.13999999999999924</v>
      </c>
      <c r="B57" s="30">
        <v>0.10716</v>
      </c>
      <c r="C57" s="31">
        <f t="shared" si="17"/>
        <v>9.739624108221253</v>
      </c>
      <c r="D57" s="31">
        <f t="shared" si="17"/>
        <v>7.454986567407109</v>
      </c>
      <c r="E57" s="31">
        <f t="shared" si="10"/>
        <v>14.909973134814217</v>
      </c>
      <c r="F57" s="31">
        <f t="shared" si="11"/>
        <v>562.0940592039882</v>
      </c>
      <c r="G57" s="31">
        <f t="shared" si="12"/>
        <v>17.56543935012463</v>
      </c>
      <c r="H57" s="31">
        <f t="shared" si="13"/>
        <v>19.06543935012463</v>
      </c>
      <c r="I57" s="41">
        <f t="shared" si="16"/>
        <v>2.0660576407975784</v>
      </c>
      <c r="K57" s="31">
        <f t="shared" si="14"/>
        <v>7.454986567407109</v>
      </c>
      <c r="L57" s="42">
        <f t="shared" si="15"/>
        <v>6.267535079532754</v>
      </c>
      <c r="M57" s="34"/>
    </row>
    <row r="58" spans="1:13" s="49" customFormat="1" ht="12.75">
      <c r="A58" s="46">
        <v>0.11999999999999922</v>
      </c>
      <c r="B58" s="47">
        <v>0.09195</v>
      </c>
      <c r="C58" s="46">
        <f t="shared" si="17"/>
        <v>8.348249235618209</v>
      </c>
      <c r="D58" s="46">
        <f t="shared" si="17"/>
        <v>6.396845976792494</v>
      </c>
      <c r="E58" s="46">
        <f t="shared" si="10"/>
        <v>12.793691953584988</v>
      </c>
      <c r="F58" s="46">
        <f t="shared" si="11"/>
        <v>482.31195169659117</v>
      </c>
      <c r="G58" s="46">
        <f t="shared" si="12"/>
        <v>15.072248490518474</v>
      </c>
      <c r="H58" s="46">
        <f t="shared" si="13"/>
        <v>16.572248490518476</v>
      </c>
      <c r="I58" s="48">
        <f t="shared" si="16"/>
        <v>1.7765022328870004</v>
      </c>
      <c r="K58" s="46">
        <f t="shared" si="14"/>
        <v>6.396845976792494</v>
      </c>
      <c r="L58" s="50">
        <f t="shared" si="15"/>
        <v>5.364062597049257</v>
      </c>
      <c r="M58" s="51"/>
    </row>
    <row r="59" spans="1:13" s="49" customFormat="1" ht="12.75">
      <c r="A59" s="46">
        <v>0.0999999999999992</v>
      </c>
      <c r="B59" s="47">
        <v>0.07669</v>
      </c>
      <c r="C59" s="46">
        <f t="shared" si="17"/>
        <v>6.956874363015163</v>
      </c>
      <c r="D59" s="46">
        <f t="shared" si="17"/>
        <v>5.335226948996371</v>
      </c>
      <c r="E59" s="46">
        <f t="shared" si="10"/>
        <v>10.670453897992742</v>
      </c>
      <c r="F59" s="46">
        <f t="shared" si="11"/>
        <v>402.26757559120796</v>
      </c>
      <c r="G59" s="46">
        <f t="shared" si="12"/>
        <v>12.570861737225249</v>
      </c>
      <c r="H59" s="46">
        <f t="shared" si="13"/>
        <v>14.070861737225249</v>
      </c>
      <c r="I59" s="48">
        <f t="shared" si="16"/>
        <v>1.4859965282651943</v>
      </c>
      <c r="K59" s="46">
        <f t="shared" si="14"/>
        <v>5.335226948996371</v>
      </c>
      <c r="L59" s="50">
        <f t="shared" si="15"/>
        <v>4.4646799888494115</v>
      </c>
      <c r="M59" s="51"/>
    </row>
    <row r="60" spans="1:13" ht="12.75">
      <c r="A60" s="31">
        <v>0.07999999999999918</v>
      </c>
      <c r="B60" s="30">
        <v>0.06138</v>
      </c>
      <c r="C60" s="31">
        <f t="shared" si="17"/>
        <v>5.565499490412118</v>
      </c>
      <c r="D60" s="31">
        <f t="shared" si="17"/>
        <v>4.2701294840187405</v>
      </c>
      <c r="E60" s="31">
        <f t="shared" si="10"/>
        <v>8.540258968037481</v>
      </c>
      <c r="F60" s="31">
        <f t="shared" si="11"/>
        <v>321.9609308878386</v>
      </c>
      <c r="G60" s="31">
        <f t="shared" si="12"/>
        <v>10.061279090244955</v>
      </c>
      <c r="H60" s="31">
        <f t="shared" si="13"/>
        <v>11.561279090244955</v>
      </c>
      <c r="I60" s="41">
        <f t="shared" si="16"/>
        <v>1.194825615945531</v>
      </c>
      <c r="K60" s="31">
        <f t="shared" si="14"/>
        <v>4.2701294840187405</v>
      </c>
      <c r="L60" s="42">
        <f t="shared" si="15"/>
        <v>3.569419453469143</v>
      </c>
      <c r="M60" s="34"/>
    </row>
    <row r="61" spans="1:13" ht="12.75">
      <c r="A61" s="31">
        <v>0.059999999999999165</v>
      </c>
      <c r="B61" s="30">
        <v>0.04605</v>
      </c>
      <c r="C61" s="31">
        <f t="shared" si="17"/>
        <v>4.174124617809073</v>
      </c>
      <c r="D61" s="31">
        <f t="shared" si="17"/>
        <v>3.203640644168508</v>
      </c>
      <c r="E61" s="31">
        <f t="shared" si="10"/>
        <v>6.407281288337016</v>
      </c>
      <c r="F61" s="31">
        <f t="shared" si="11"/>
        <v>241.5493787452748</v>
      </c>
      <c r="G61" s="31">
        <f t="shared" si="12"/>
        <v>7.548418085789837</v>
      </c>
      <c r="H61" s="31">
        <f t="shared" si="13"/>
        <v>9.048418085789837</v>
      </c>
      <c r="I61" s="41">
        <f t="shared" si="16"/>
        <v>0.9033696146125003</v>
      </c>
      <c r="K61" s="31">
        <f t="shared" si="14"/>
        <v>3.203640644168508</v>
      </c>
      <c r="L61" s="42">
        <f t="shared" si="15"/>
        <v>2.6758168625004037</v>
      </c>
      <c r="M61" s="34"/>
    </row>
    <row r="62" spans="1:13" ht="12.75">
      <c r="A62" s="31">
        <v>0.03999999999999915</v>
      </c>
      <c r="B62" s="30">
        <v>0.03071</v>
      </c>
      <c r="C62" s="31">
        <f t="shared" si="17"/>
        <v>2.782749745206028</v>
      </c>
      <c r="D62" s="31">
        <f t="shared" si="17"/>
        <v>2.136456116881974</v>
      </c>
      <c r="E62" s="31">
        <f t="shared" si="10"/>
        <v>4.272912233763948</v>
      </c>
      <c r="F62" s="31">
        <f t="shared" si="11"/>
        <v>161.08537288311382</v>
      </c>
      <c r="G62" s="31">
        <f t="shared" si="12"/>
        <v>5.033917902597307</v>
      </c>
      <c r="H62" s="31">
        <f t="shared" si="13"/>
        <v>6.533917902597307</v>
      </c>
      <c r="I62" s="41">
        <f t="shared" si="16"/>
        <v>0.6116285242661015</v>
      </c>
      <c r="K62" s="31">
        <f t="shared" si="14"/>
        <v>2.136456116881974</v>
      </c>
      <c r="L62" s="42">
        <f t="shared" si="15"/>
        <v>1.7830452114992326</v>
      </c>
      <c r="M62" s="34"/>
    </row>
    <row r="63" spans="1:13" ht="12.75">
      <c r="A63" s="31">
        <v>0.01999999999999913</v>
      </c>
      <c r="B63" s="30">
        <v>0.01535</v>
      </c>
      <c r="C63" s="31">
        <f t="shared" si="17"/>
        <v>1.391374872602983</v>
      </c>
      <c r="D63" s="31">
        <f t="shared" si="17"/>
        <v>1.0678802147228361</v>
      </c>
      <c r="E63" s="31">
        <f t="shared" si="10"/>
        <v>2.1357604294456722</v>
      </c>
      <c r="F63" s="31">
        <f t="shared" si="11"/>
        <v>80.51645958175828</v>
      </c>
      <c r="G63" s="31">
        <f t="shared" si="12"/>
        <v>2.5161393619299464</v>
      </c>
      <c r="H63" s="31">
        <f t="shared" si="13"/>
        <v>4.016139361929946</v>
      </c>
      <c r="I63" s="41">
        <f>ABS(C63-C64)*H64/12-ABS(C63-C64)*(H64-H63)/24</f>
        <v>0.31979240424858</v>
      </c>
      <c r="K63" s="31">
        <f t="shared" si="14"/>
        <v>1.0678802147228361</v>
      </c>
      <c r="L63" s="42">
        <f t="shared" si="15"/>
        <v>0.8919393943058287</v>
      </c>
      <c r="M63" s="34"/>
    </row>
    <row r="64" spans="1:13" ht="12.75">
      <c r="A64" s="31">
        <v>-8.881784197001252E-16</v>
      </c>
      <c r="B64" s="30">
        <v>0</v>
      </c>
      <c r="C64" s="31">
        <f t="shared" si="17"/>
        <v>-6.178945677795172E-14</v>
      </c>
      <c r="D64" s="31">
        <f t="shared" si="17"/>
        <v>0</v>
      </c>
      <c r="E64" s="31">
        <f t="shared" si="10"/>
        <v>0</v>
      </c>
      <c r="F64" s="31">
        <f t="shared" si="11"/>
        <v>0</v>
      </c>
      <c r="G64" s="31">
        <f t="shared" si="12"/>
        <v>0</v>
      </c>
      <c r="H64" s="31">
        <f t="shared" si="13"/>
        <v>1.5</v>
      </c>
      <c r="I64" s="52">
        <f>ABS(C64-C65)*H65/12-ABS(C64-C65)*(H65-H64)/24</f>
        <v>3.8618410486219825E-15</v>
      </c>
      <c r="K64" s="31">
        <f t="shared" si="14"/>
        <v>0</v>
      </c>
      <c r="L64" s="33">
        <v>0</v>
      </c>
      <c r="M64" s="34"/>
    </row>
    <row r="66" spans="1:8" ht="12.75">
      <c r="A66" s="31"/>
      <c r="B66" s="31"/>
      <c r="C66" s="31"/>
      <c r="D66" s="31"/>
      <c r="E66" s="31"/>
      <c r="F66" s="31"/>
      <c r="G66" s="31"/>
      <c r="H66" s="31"/>
    </row>
  </sheetData>
  <printOptions gridLines="1"/>
  <pageMargins left="0.75" right="0.75" top="1" bottom="1" header="0.5" footer="0.5"/>
  <pageSetup fitToHeight="1" fitToWidth="1" orientation="portrait" paperSize="9" scale="85" r:id="rId3"/>
  <headerFooter alignWithMargins="0">
    <oddFooter>&amp;C&amp;D&amp;"  "&amp;T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3" sqref="A3"/>
    </sheetView>
  </sheetViews>
  <sheetFormatPr defaultColWidth="9.140625" defaultRowHeight="12.75"/>
  <cols>
    <col min="2" max="2" width="12.421875" style="0" customWidth="1"/>
    <col min="3" max="3" width="11.7109375" style="0" customWidth="1"/>
    <col min="4" max="4" width="10.140625" style="0" customWidth="1"/>
    <col min="5" max="5" width="10.421875" style="0" customWidth="1"/>
  </cols>
  <sheetData>
    <row r="1" spans="1:8" ht="20.25">
      <c r="A1" s="26" t="s">
        <v>67</v>
      </c>
      <c r="B1" s="5"/>
      <c r="C1" s="6"/>
      <c r="D1" s="6"/>
      <c r="E1" s="6"/>
      <c r="F1" s="6"/>
      <c r="G1" s="6"/>
      <c r="H1" s="6"/>
    </row>
    <row r="2" spans="1:4" ht="12.75">
      <c r="A2" s="4"/>
      <c r="B2" s="5"/>
      <c r="C2" s="6"/>
      <c r="D2" s="6"/>
    </row>
    <row r="3" spans="1:5" ht="12.75">
      <c r="A3" s="4"/>
      <c r="B3" s="5"/>
      <c r="C3" s="6"/>
      <c r="D3" s="6"/>
      <c r="E3" s="6"/>
    </row>
    <row r="4" spans="1:5" ht="12.75">
      <c r="A4" s="8"/>
      <c r="B4" s="9" t="s">
        <v>68</v>
      </c>
      <c r="C4" s="10" t="s">
        <v>69</v>
      </c>
      <c r="D4" s="10" t="s">
        <v>70</v>
      </c>
      <c r="E4" s="11" t="s">
        <v>69</v>
      </c>
    </row>
    <row r="5" spans="1:5" ht="12.75">
      <c r="A5" s="12" t="s">
        <v>71</v>
      </c>
      <c r="B5" s="13" t="s">
        <v>72</v>
      </c>
      <c r="C5" s="14" t="s">
        <v>72</v>
      </c>
      <c r="D5" s="14" t="s">
        <v>72</v>
      </c>
      <c r="E5" s="15" t="s">
        <v>72</v>
      </c>
    </row>
    <row r="6" spans="1:5" ht="12.75">
      <c r="A6" s="12" t="s">
        <v>73</v>
      </c>
      <c r="B6" s="13" t="s">
        <v>47</v>
      </c>
      <c r="C6" s="14" t="s">
        <v>47</v>
      </c>
      <c r="D6" s="14" t="s">
        <v>27</v>
      </c>
      <c r="E6" s="15" t="s">
        <v>74</v>
      </c>
    </row>
    <row r="7" spans="1:6" ht="12.75">
      <c r="A7" s="8">
        <v>1</v>
      </c>
      <c r="B7" s="23">
        <v>0</v>
      </c>
      <c r="C7" s="24">
        <v>250</v>
      </c>
      <c r="D7" s="24">
        <v>0</v>
      </c>
      <c r="E7" s="25">
        <v>8829</v>
      </c>
      <c r="F7" t="s">
        <v>75</v>
      </c>
    </row>
    <row r="8" spans="1:6" ht="12.75">
      <c r="A8" s="12">
        <v>2</v>
      </c>
      <c r="B8" s="16">
        <v>250</v>
      </c>
      <c r="C8" s="17">
        <v>400</v>
      </c>
      <c r="D8" s="17">
        <v>8830</v>
      </c>
      <c r="E8" s="18">
        <v>14126</v>
      </c>
      <c r="F8" t="s">
        <v>76</v>
      </c>
    </row>
    <row r="9" spans="1:6" ht="12.75">
      <c r="A9" s="12">
        <v>3</v>
      </c>
      <c r="B9" s="16">
        <v>400</v>
      </c>
      <c r="C9" s="17">
        <v>600</v>
      </c>
      <c r="D9" s="17">
        <v>14127</v>
      </c>
      <c r="E9" s="18">
        <v>21188</v>
      </c>
      <c r="F9" t="s">
        <v>77</v>
      </c>
    </row>
    <row r="10" spans="1:6" ht="12.75">
      <c r="A10" s="12">
        <v>4</v>
      </c>
      <c r="B10" s="16">
        <v>600</v>
      </c>
      <c r="C10" s="17">
        <v>900</v>
      </c>
      <c r="D10" s="17">
        <v>21189</v>
      </c>
      <c r="E10" s="18">
        <v>31783</v>
      </c>
      <c r="F10" t="s">
        <v>78</v>
      </c>
    </row>
    <row r="11" spans="1:6" ht="12.75">
      <c r="A11" s="12">
        <v>5</v>
      </c>
      <c r="B11" s="16">
        <v>900</v>
      </c>
      <c r="C11" s="17">
        <v>1200</v>
      </c>
      <c r="D11" s="17">
        <v>31784</v>
      </c>
      <c r="E11" s="18">
        <v>42377</v>
      </c>
      <c r="F11" t="s">
        <v>79</v>
      </c>
    </row>
    <row r="12" spans="1:6" ht="12.75">
      <c r="A12" s="12">
        <v>6</v>
      </c>
      <c r="B12" s="16">
        <v>1200</v>
      </c>
      <c r="C12" s="17">
        <v>1600</v>
      </c>
      <c r="D12" s="17">
        <v>42378</v>
      </c>
      <c r="E12" s="18">
        <v>56502</v>
      </c>
      <c r="F12" t="s">
        <v>80</v>
      </c>
    </row>
    <row r="13" spans="1:6" ht="12.75">
      <c r="A13" s="12">
        <v>7</v>
      </c>
      <c r="B13" s="16">
        <v>1600</v>
      </c>
      <c r="C13" s="17">
        <v>2200</v>
      </c>
      <c r="D13" s="17">
        <v>56503</v>
      </c>
      <c r="E13" s="18">
        <v>77691</v>
      </c>
      <c r="F13" t="s">
        <v>81</v>
      </c>
    </row>
    <row r="14" spans="1:6" ht="12.75">
      <c r="A14" s="12">
        <v>8</v>
      </c>
      <c r="B14" s="16">
        <v>2200</v>
      </c>
      <c r="C14" s="17">
        <v>3000</v>
      </c>
      <c r="D14" s="17">
        <v>77692</v>
      </c>
      <c r="E14" s="18">
        <v>105942</v>
      </c>
      <c r="F14" t="s">
        <v>82</v>
      </c>
    </row>
    <row r="15" spans="1:6" ht="12.75">
      <c r="A15" s="19">
        <v>9</v>
      </c>
      <c r="B15" s="20">
        <v>3000</v>
      </c>
      <c r="C15" s="21">
        <v>4000</v>
      </c>
      <c r="D15" s="21">
        <v>105943</v>
      </c>
      <c r="E15" s="22">
        <v>141256</v>
      </c>
      <c r="F15" t="s">
        <v>83</v>
      </c>
    </row>
    <row r="16" spans="1:2" ht="12.75">
      <c r="A16" s="7"/>
      <c r="B16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C4" sqref="C4"/>
    </sheetView>
  </sheetViews>
  <sheetFormatPr defaultColWidth="9.140625" defaultRowHeight="12.75"/>
  <cols>
    <col min="3" max="3" width="10.00390625" style="0" customWidth="1"/>
    <col min="7" max="7" width="11.8515625" style="0" customWidth="1"/>
    <col min="16" max="16" width="21.421875" style="0" customWidth="1"/>
    <col min="17" max="18" width="9.140625" style="92" customWidth="1"/>
  </cols>
  <sheetData>
    <row r="1" spans="1:17" ht="20.25">
      <c r="A1" s="32" t="s">
        <v>24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Q1" s="93" t="s">
        <v>45</v>
      </c>
    </row>
    <row r="2" spans="1:17" ht="15">
      <c r="A2" s="45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Q2" s="94" t="s">
        <v>46</v>
      </c>
    </row>
    <row r="3" spans="1:13" ht="12.75">
      <c r="A3" s="103"/>
      <c r="B3" s="103" t="s">
        <v>26</v>
      </c>
      <c r="C3" s="116">
        <v>3.397</v>
      </c>
      <c r="D3" s="56" t="s">
        <v>47</v>
      </c>
      <c r="E3" s="56"/>
      <c r="F3" s="56"/>
      <c r="G3" s="104" t="s">
        <v>48</v>
      </c>
      <c r="H3" s="56"/>
      <c r="I3" s="33"/>
      <c r="J3" s="33"/>
      <c r="K3" s="33"/>
      <c r="L3" s="33"/>
      <c r="M3" s="34"/>
    </row>
    <row r="4" spans="1:20" ht="12.75">
      <c r="A4" s="103"/>
      <c r="B4" s="103"/>
      <c r="C4" s="117">
        <f>CONVERT(1,"m","ft")^3*$C$3</f>
        <v>119.96392285289674</v>
      </c>
      <c r="D4" s="56" t="s">
        <v>27</v>
      </c>
      <c r="E4" s="56"/>
      <c r="F4" s="56"/>
      <c r="G4" s="70">
        <f>CONVERT((C3/0.003564)^(1/3),"ft","m")</f>
        <v>2.9996292499499084</v>
      </c>
      <c r="H4" s="56"/>
      <c r="I4" s="33"/>
      <c r="J4" s="33"/>
      <c r="K4" s="33"/>
      <c r="L4" s="33"/>
      <c r="M4" s="34"/>
      <c r="Q4" s="95" t="s">
        <v>2</v>
      </c>
      <c r="S4" s="100">
        <f>C3</f>
        <v>3.397</v>
      </c>
      <c r="T4" s="101" t="s">
        <v>49</v>
      </c>
    </row>
    <row r="5" spans="1:20" ht="12.75">
      <c r="A5" s="103"/>
      <c r="B5" s="103" t="s">
        <v>28</v>
      </c>
      <c r="C5" s="105">
        <v>6</v>
      </c>
      <c r="D5" s="56" t="s">
        <v>50</v>
      </c>
      <c r="E5" s="56"/>
      <c r="F5" s="56"/>
      <c r="G5" s="101"/>
      <c r="H5" s="56"/>
      <c r="I5" s="33"/>
      <c r="J5" s="33"/>
      <c r="K5" s="33"/>
      <c r="L5" s="33"/>
      <c r="M5" s="34"/>
      <c r="S5" s="102">
        <f>C4</f>
        <v>119.96392285289674</v>
      </c>
      <c r="T5" s="101" t="s">
        <v>51</v>
      </c>
    </row>
    <row r="6" spans="1:22" ht="12.75">
      <c r="A6" s="103"/>
      <c r="B6" s="103" t="s">
        <v>6</v>
      </c>
      <c r="C6" s="105">
        <v>12</v>
      </c>
      <c r="D6" s="56" t="s">
        <v>52</v>
      </c>
      <c r="E6" s="56"/>
      <c r="F6" s="56"/>
      <c r="G6" s="56"/>
      <c r="H6" s="56"/>
      <c r="I6" s="33"/>
      <c r="J6" s="33"/>
      <c r="K6" s="33"/>
      <c r="L6" s="33"/>
      <c r="M6" s="34"/>
      <c r="Q6" s="92" t="s">
        <v>53</v>
      </c>
      <c r="S6" s="106">
        <f>CONVERT(9.04,"ft","m")/(2*$C$6)*2*PI()+(2*$C$5/1000)</f>
        <v>0.7333599387466738</v>
      </c>
      <c r="T6" s="101" t="s">
        <v>54</v>
      </c>
      <c r="V6" s="101" t="s">
        <v>55</v>
      </c>
    </row>
    <row r="7" spans="1:23" ht="12.75">
      <c r="A7" s="103"/>
      <c r="B7" s="103" t="s">
        <v>30</v>
      </c>
      <c r="C7" s="105">
        <v>0.5</v>
      </c>
      <c r="D7" s="56" t="s">
        <v>54</v>
      </c>
      <c r="E7" s="56"/>
      <c r="F7" s="56"/>
      <c r="G7" s="101"/>
      <c r="H7" s="56"/>
      <c r="I7" s="33"/>
      <c r="J7" s="33"/>
      <c r="K7" s="33"/>
      <c r="L7" s="33"/>
      <c r="M7" s="34"/>
      <c r="Q7" s="92" t="s">
        <v>56</v>
      </c>
      <c r="S7" s="106">
        <f>CONVERT(7.415,"ft","m")/(2*$C$6)*2*PI()+(2*$C$5/1000)</f>
        <v>0.6036907019697553</v>
      </c>
      <c r="T7" s="101" t="s">
        <v>54</v>
      </c>
      <c r="W7" s="115">
        <f>CONVERT(7,"ft","m")</f>
        <v>2.1336</v>
      </c>
    </row>
    <row r="8" spans="1:23" ht="12.75">
      <c r="A8" s="33"/>
      <c r="B8" s="38"/>
      <c r="C8" s="39"/>
      <c r="D8" s="33"/>
      <c r="E8" s="33"/>
      <c r="F8" s="33"/>
      <c r="G8" s="33"/>
      <c r="H8" s="33"/>
      <c r="I8" s="33"/>
      <c r="J8" s="33"/>
      <c r="K8" s="33"/>
      <c r="L8" s="33"/>
      <c r="M8" s="34"/>
      <c r="Q8" s="101" t="s">
        <v>57</v>
      </c>
      <c r="R8"/>
      <c r="S8" s="106">
        <f>CONVERT(5.85,"ft","m")/(2*$C$6)*2*PI()+(2*$C$5/1000)</f>
        <v>0.47880925239690736</v>
      </c>
      <c r="T8" s="101" t="s">
        <v>54</v>
      </c>
      <c r="W8" s="115">
        <f>CONVERT(17.34,"ft","m")</f>
        <v>5.285232</v>
      </c>
    </row>
    <row r="9" spans="1:23" ht="12.75">
      <c r="A9" s="53"/>
      <c r="B9" s="54" t="s">
        <v>31</v>
      </c>
      <c r="C9" s="54" t="s">
        <v>32</v>
      </c>
      <c r="D9" s="54"/>
      <c r="E9" s="54"/>
      <c r="F9" s="54" t="s">
        <v>33</v>
      </c>
      <c r="G9" s="54" t="s">
        <v>84</v>
      </c>
      <c r="H9" s="55" t="s">
        <v>85</v>
      </c>
      <c r="I9" s="56"/>
      <c r="J9" s="56"/>
      <c r="K9" s="56" t="s">
        <v>31</v>
      </c>
      <c r="L9" s="56" t="s">
        <v>36</v>
      </c>
      <c r="M9" s="34"/>
      <c r="Q9"/>
      <c r="R9"/>
      <c r="W9" s="115">
        <f>CONVERT(29.82,"ft","m")</f>
        <v>9.089136</v>
      </c>
    </row>
    <row r="10" spans="1:19" ht="12.75">
      <c r="A10" s="57" t="s">
        <v>37</v>
      </c>
      <c r="B10" s="58" t="s">
        <v>38</v>
      </c>
      <c r="C10" s="58" t="s">
        <v>39</v>
      </c>
      <c r="D10" s="58" t="s">
        <v>31</v>
      </c>
      <c r="E10" s="58" t="s">
        <v>40</v>
      </c>
      <c r="F10" s="58" t="s">
        <v>41</v>
      </c>
      <c r="G10" s="58" t="s">
        <v>32</v>
      </c>
      <c r="H10" s="59" t="s">
        <v>32</v>
      </c>
      <c r="I10" s="56"/>
      <c r="J10" s="56"/>
      <c r="K10" s="56"/>
      <c r="L10" s="56" t="s">
        <v>42</v>
      </c>
      <c r="M10" s="34"/>
      <c r="Q10" s="111" t="s">
        <v>60</v>
      </c>
      <c r="R10" s="107" t="s">
        <v>32</v>
      </c>
      <c r="S10" s="96" t="s">
        <v>61</v>
      </c>
    </row>
    <row r="11" spans="1:19" ht="12.75">
      <c r="A11" s="60"/>
      <c r="B11" s="61"/>
      <c r="C11" s="61" t="s">
        <v>62</v>
      </c>
      <c r="D11" s="61" t="s">
        <v>62</v>
      </c>
      <c r="E11" s="61" t="s">
        <v>62</v>
      </c>
      <c r="F11" s="61" t="s">
        <v>62</v>
      </c>
      <c r="G11" s="61" t="s">
        <v>62</v>
      </c>
      <c r="H11" s="62" t="s">
        <v>62</v>
      </c>
      <c r="I11" s="56"/>
      <c r="J11" s="56"/>
      <c r="K11" s="56"/>
      <c r="L11" s="56" t="s">
        <v>44</v>
      </c>
      <c r="M11" s="34"/>
      <c r="Q11" s="112"/>
      <c r="R11" s="108" t="s">
        <v>63</v>
      </c>
      <c r="S11" s="98" t="s">
        <v>64</v>
      </c>
    </row>
    <row r="12" spans="1:20" ht="12.75">
      <c r="A12" s="63">
        <v>1</v>
      </c>
      <c r="B12" s="64">
        <v>0</v>
      </c>
      <c r="C12" s="65">
        <f aca="true" t="shared" si="0" ref="C12:C43">$G$4*A12</f>
        <v>2.9996292499499084</v>
      </c>
      <c r="D12" s="66">
        <f aca="true" t="shared" si="1" ref="D12:D43">$G$4*B12</f>
        <v>0</v>
      </c>
      <c r="E12" s="66">
        <f aca="true" t="shared" si="2" ref="E12:E43">D12*2</f>
        <v>0</v>
      </c>
      <c r="F12" s="66">
        <f aca="true" t="shared" si="3" ref="F12:F43">E12*3.1416</f>
        <v>0</v>
      </c>
      <c r="G12" s="73">
        <f aca="true" t="shared" si="4" ref="G12:G43">F12/($C$6)</f>
        <v>0</v>
      </c>
      <c r="H12" s="67">
        <f aca="true" t="shared" si="5" ref="H12:H43">G12+(2*$C$5/1000)</f>
        <v>0.012</v>
      </c>
      <c r="I12" s="68">
        <f aca="true" t="shared" si="6" ref="I12:I43">ABS(C12-C13)*H13/12-ABS(C12-C13)*(H13-H12)/24</f>
        <v>0.00013851317372590507</v>
      </c>
      <c r="J12" s="56"/>
      <c r="K12" s="69">
        <f aca="true" t="shared" si="7" ref="K12:K43">D12</f>
        <v>0</v>
      </c>
      <c r="L12" s="70">
        <f aca="true" t="shared" si="8" ref="L12:L43">L13+SQRT(ABS((C12-C13)^2-(D12-D13)^2))</f>
        <v>1.931729821835949</v>
      </c>
      <c r="M12" s="33"/>
      <c r="Q12" s="113">
        <f aca="true" t="shared" si="9" ref="Q12:Q43">1-A12</f>
        <v>0</v>
      </c>
      <c r="R12" s="109">
        <f aca="true" t="shared" si="10" ref="R12:R43">$G$4-C12</f>
        <v>0</v>
      </c>
      <c r="S12" s="99">
        <f aca="true" t="shared" si="11" ref="S12:S43">H12</f>
        <v>0.012</v>
      </c>
      <c r="T12" s="101" t="s">
        <v>65</v>
      </c>
    </row>
    <row r="13" spans="1:19" ht="12.75">
      <c r="A13" s="71">
        <v>0.98</v>
      </c>
      <c r="B13" s="72">
        <v>0.02</v>
      </c>
      <c r="C13" s="73">
        <f t="shared" si="0"/>
        <v>2.93963666495091</v>
      </c>
      <c r="D13" s="74">
        <f t="shared" si="1"/>
        <v>0.05999258499899817</v>
      </c>
      <c r="E13" s="74">
        <f t="shared" si="2"/>
        <v>0.11998516999799634</v>
      </c>
      <c r="F13" s="74">
        <f t="shared" si="3"/>
        <v>0.3769454100657053</v>
      </c>
      <c r="G13" s="73">
        <f t="shared" si="4"/>
        <v>0.03141211750547544</v>
      </c>
      <c r="H13" s="75">
        <f t="shared" si="5"/>
        <v>0.04341211750547544</v>
      </c>
      <c r="I13" s="68">
        <f t="shared" si="6"/>
        <v>0.0002955543511797163</v>
      </c>
      <c r="J13" s="56"/>
      <c r="K13" s="69">
        <f t="shared" si="7"/>
        <v>0.05999258499899817</v>
      </c>
      <c r="L13" s="70">
        <f t="shared" si="8"/>
        <v>1.931729816608914</v>
      </c>
      <c r="M13" s="34"/>
      <c r="Q13" s="113">
        <f t="shared" si="9"/>
        <v>0.020000000000000018</v>
      </c>
      <c r="R13" s="109">
        <f t="shared" si="10"/>
        <v>0.0599925849989984</v>
      </c>
      <c r="S13" s="99">
        <f t="shared" si="11"/>
        <v>0.04341211750547544</v>
      </c>
    </row>
    <row r="14" spans="1:19" ht="12.75">
      <c r="A14" s="71">
        <v>0.96</v>
      </c>
      <c r="B14" s="72">
        <v>0.04</v>
      </c>
      <c r="C14" s="73">
        <f t="shared" si="0"/>
        <v>2.879644079951912</v>
      </c>
      <c r="D14" s="74">
        <f t="shared" si="1"/>
        <v>0.11998516999799634</v>
      </c>
      <c r="E14" s="74">
        <f t="shared" si="2"/>
        <v>0.23997033999599268</v>
      </c>
      <c r="F14" s="74">
        <f t="shared" si="3"/>
        <v>0.7538908201314106</v>
      </c>
      <c r="G14" s="73">
        <f t="shared" si="4"/>
        <v>0.06282423501095089</v>
      </c>
      <c r="H14" s="75">
        <f t="shared" si="5"/>
        <v>0.07482423501095088</v>
      </c>
      <c r="I14" s="68">
        <f t="shared" si="6"/>
        <v>0.0004525562683391685</v>
      </c>
      <c r="J14" s="56"/>
      <c r="K14" s="69">
        <f t="shared" si="7"/>
        <v>0.11998516999799634</v>
      </c>
      <c r="L14" s="70">
        <f t="shared" si="8"/>
        <v>1.9317298115078503</v>
      </c>
      <c r="M14" s="34"/>
      <c r="Q14" s="113">
        <f t="shared" si="9"/>
        <v>0.040000000000000036</v>
      </c>
      <c r="R14" s="109">
        <f t="shared" si="10"/>
        <v>0.11998516999799635</v>
      </c>
      <c r="S14" s="99">
        <f t="shared" si="11"/>
        <v>0.07482423501095088</v>
      </c>
    </row>
    <row r="15" spans="1:19" ht="12.75">
      <c r="A15" s="71">
        <v>0.94</v>
      </c>
      <c r="B15" s="72">
        <v>0.05999</v>
      </c>
      <c r="C15" s="73">
        <f t="shared" si="0"/>
        <v>2.8196514949529137</v>
      </c>
      <c r="D15" s="74">
        <f t="shared" si="1"/>
        <v>0.179947758704495</v>
      </c>
      <c r="E15" s="74">
        <f t="shared" si="2"/>
        <v>0.35989551740899</v>
      </c>
      <c r="F15" s="74">
        <f t="shared" si="3"/>
        <v>1.130647757492083</v>
      </c>
      <c r="G15" s="73">
        <f t="shared" si="4"/>
        <v>0.09422064645767358</v>
      </c>
      <c r="H15" s="75">
        <f t="shared" si="5"/>
        <v>0.10622064645767358</v>
      </c>
      <c r="I15" s="68">
        <f t="shared" si="6"/>
        <v>0.000609479664909887</v>
      </c>
      <c r="J15" s="56"/>
      <c r="K15" s="69">
        <f t="shared" si="7"/>
        <v>0.179947758704495</v>
      </c>
      <c r="L15" s="70">
        <f t="shared" si="8"/>
        <v>1.9298329165509993</v>
      </c>
      <c r="M15" s="34"/>
      <c r="Q15" s="113">
        <f t="shared" si="9"/>
        <v>0.06000000000000005</v>
      </c>
      <c r="R15" s="109">
        <f t="shared" si="10"/>
        <v>0.17997775499699475</v>
      </c>
      <c r="S15" s="99">
        <f t="shared" si="11"/>
        <v>0.10622064645767358</v>
      </c>
    </row>
    <row r="16" spans="1:19" ht="12.75">
      <c r="A16" s="71">
        <v>0.92</v>
      </c>
      <c r="B16" s="72">
        <v>0.07997</v>
      </c>
      <c r="C16" s="73">
        <f t="shared" si="0"/>
        <v>2.7596589099539157</v>
      </c>
      <c r="D16" s="74">
        <f t="shared" si="1"/>
        <v>0.23988035111849418</v>
      </c>
      <c r="E16" s="74">
        <f t="shared" si="2"/>
        <v>0.47976070223698836</v>
      </c>
      <c r="F16" s="74">
        <f t="shared" si="3"/>
        <v>1.5072162221477226</v>
      </c>
      <c r="G16" s="73">
        <f t="shared" si="4"/>
        <v>0.12560135184564356</v>
      </c>
      <c r="H16" s="75">
        <f t="shared" si="5"/>
        <v>0.13760135184564357</v>
      </c>
      <c r="I16" s="68">
        <f t="shared" si="6"/>
        <v>0.0007661282394200649</v>
      </c>
      <c r="J16" s="56"/>
      <c r="K16" s="69">
        <f t="shared" si="7"/>
        <v>0.23988035111849418</v>
      </c>
      <c r="L16" s="70">
        <f t="shared" si="8"/>
        <v>1.9271506374082845</v>
      </c>
      <c r="M16" s="34"/>
      <c r="Q16" s="113">
        <f t="shared" si="9"/>
        <v>0.07999999999999996</v>
      </c>
      <c r="R16" s="109">
        <f t="shared" si="10"/>
        <v>0.2399703399959927</v>
      </c>
      <c r="S16" s="99">
        <f t="shared" si="11"/>
        <v>0.13760135184564357</v>
      </c>
    </row>
    <row r="17" spans="1:19" ht="12.75">
      <c r="A17" s="76">
        <v>0.9</v>
      </c>
      <c r="B17" s="77">
        <v>0.09989</v>
      </c>
      <c r="C17" s="78">
        <f t="shared" si="0"/>
        <v>2.6996663249549178</v>
      </c>
      <c r="D17" s="79">
        <f t="shared" si="1"/>
        <v>0.2996329657774964</v>
      </c>
      <c r="E17" s="79">
        <f t="shared" si="2"/>
        <v>0.5992659315549927</v>
      </c>
      <c r="F17" s="79">
        <f t="shared" si="3"/>
        <v>1.8826538505731651</v>
      </c>
      <c r="G17" s="73">
        <f t="shared" si="4"/>
        <v>0.1568878208810971</v>
      </c>
      <c r="H17" s="80">
        <f t="shared" si="5"/>
        <v>0.1688878208810971</v>
      </c>
      <c r="I17" s="81">
        <f t="shared" si="6"/>
        <v>0.0009222664301035244</v>
      </c>
      <c r="J17" s="56"/>
      <c r="K17" s="82">
        <f t="shared" si="7"/>
        <v>0.2996329657774964</v>
      </c>
      <c r="L17" s="83">
        <f t="shared" si="8"/>
        <v>1.9217901060657039</v>
      </c>
      <c r="M17" s="51"/>
      <c r="Q17" s="113">
        <f t="shared" si="9"/>
        <v>0.09999999999999998</v>
      </c>
      <c r="R17" s="109">
        <f t="shared" si="10"/>
        <v>0.29996292499499067</v>
      </c>
      <c r="S17" s="99">
        <f t="shared" si="11"/>
        <v>0.1688878208810971</v>
      </c>
    </row>
    <row r="18" spans="1:19" ht="12.75">
      <c r="A18" s="76">
        <v>0.88</v>
      </c>
      <c r="B18" s="77">
        <v>0.11974</v>
      </c>
      <c r="C18" s="78">
        <f t="shared" si="0"/>
        <v>2.6396737399559194</v>
      </c>
      <c r="D18" s="79">
        <f t="shared" si="1"/>
        <v>0.35917560638900203</v>
      </c>
      <c r="E18" s="79">
        <f t="shared" si="2"/>
        <v>0.7183512127780041</v>
      </c>
      <c r="F18" s="79">
        <f t="shared" si="3"/>
        <v>2.2567721700633774</v>
      </c>
      <c r="G18" s="73">
        <f t="shared" si="4"/>
        <v>0.18806434750528145</v>
      </c>
      <c r="H18" s="80">
        <f t="shared" si="5"/>
        <v>0.20006434750528146</v>
      </c>
      <c r="I18" s="81">
        <f t="shared" si="6"/>
        <v>0.0010775408943109745</v>
      </c>
      <c r="J18" s="56"/>
      <c r="K18" s="82">
        <f t="shared" si="7"/>
        <v>0.35917560638900203</v>
      </c>
      <c r="L18" s="83">
        <f t="shared" si="8"/>
        <v>1.9144563346027303</v>
      </c>
      <c r="M18" s="51"/>
      <c r="Q18" s="113">
        <f t="shared" si="9"/>
        <v>0.12</v>
      </c>
      <c r="R18" s="109">
        <f t="shared" si="10"/>
        <v>0.35995550999398906</v>
      </c>
      <c r="S18" s="99">
        <f t="shared" si="11"/>
        <v>0.20006434750528146</v>
      </c>
    </row>
    <row r="19" spans="1:19" ht="12.75">
      <c r="A19" s="71">
        <v>0.86</v>
      </c>
      <c r="B19" s="72">
        <v>0.13944</v>
      </c>
      <c r="C19" s="73">
        <f t="shared" si="0"/>
        <v>2.5796811549569214</v>
      </c>
      <c r="D19" s="74">
        <f t="shared" si="1"/>
        <v>0.41826830261301523</v>
      </c>
      <c r="E19" s="74">
        <f t="shared" si="2"/>
        <v>0.8365366052260305</v>
      </c>
      <c r="F19" s="74">
        <f t="shared" si="3"/>
        <v>2.6280633989780973</v>
      </c>
      <c r="G19" s="73">
        <f t="shared" si="4"/>
        <v>0.21900528324817478</v>
      </c>
      <c r="H19" s="75">
        <f t="shared" si="5"/>
        <v>0.2310052832481748</v>
      </c>
      <c r="I19" s="68">
        <f t="shared" si="6"/>
        <v>0.0012313234673326293</v>
      </c>
      <c r="J19" s="56"/>
      <c r="K19" s="69">
        <f t="shared" si="7"/>
        <v>0.41826830261301523</v>
      </c>
      <c r="L19" s="70">
        <f t="shared" si="8"/>
        <v>1.9041043537372877</v>
      </c>
      <c r="M19" s="34"/>
      <c r="Q19" s="113">
        <f t="shared" si="9"/>
        <v>0.14</v>
      </c>
      <c r="R19" s="109">
        <f t="shared" si="10"/>
        <v>0.419948094992987</v>
      </c>
      <c r="S19" s="99">
        <f t="shared" si="11"/>
        <v>0.2310052832481748</v>
      </c>
    </row>
    <row r="20" spans="1:19" ht="12.75">
      <c r="A20" s="71">
        <v>0.84</v>
      </c>
      <c r="B20" s="72">
        <v>0.15891</v>
      </c>
      <c r="C20" s="73">
        <f t="shared" si="0"/>
        <v>2.519688569957923</v>
      </c>
      <c r="D20" s="74">
        <f t="shared" si="1"/>
        <v>0.47667108410953996</v>
      </c>
      <c r="E20" s="74">
        <f t="shared" si="2"/>
        <v>0.9533421682190799</v>
      </c>
      <c r="F20" s="74">
        <f t="shared" si="3"/>
        <v>2.9950197556770615</v>
      </c>
      <c r="G20" s="73">
        <f t="shared" si="4"/>
        <v>0.24958497963975512</v>
      </c>
      <c r="H20" s="75">
        <f t="shared" si="5"/>
        <v>0.26158497963975513</v>
      </c>
      <c r="I20" s="68">
        <f t="shared" si="6"/>
        <v>0.0013829074638699226</v>
      </c>
      <c r="J20" s="56"/>
      <c r="K20" s="69">
        <f t="shared" si="7"/>
        <v>0.47667108410953996</v>
      </c>
      <c r="L20" s="70">
        <f t="shared" si="8"/>
        <v>1.89038482866055</v>
      </c>
      <c r="M20" s="34"/>
      <c r="Q20" s="113">
        <f t="shared" si="9"/>
        <v>0.16000000000000003</v>
      </c>
      <c r="R20" s="109">
        <f t="shared" si="10"/>
        <v>0.4799406799919854</v>
      </c>
      <c r="S20" s="99">
        <f t="shared" si="11"/>
        <v>0.26158497963975513</v>
      </c>
    </row>
    <row r="21" spans="1:19" ht="12.75">
      <c r="A21" s="71">
        <v>0.82</v>
      </c>
      <c r="B21" s="72">
        <v>0.17805</v>
      </c>
      <c r="C21" s="73">
        <f t="shared" si="0"/>
        <v>2.4596959849589246</v>
      </c>
      <c r="D21" s="74">
        <f t="shared" si="1"/>
        <v>0.5340839879535813</v>
      </c>
      <c r="E21" s="74">
        <f t="shared" si="2"/>
        <v>1.0681679759071625</v>
      </c>
      <c r="F21" s="74">
        <f t="shared" si="3"/>
        <v>3.3557565131099416</v>
      </c>
      <c r="G21" s="73">
        <f t="shared" si="4"/>
        <v>0.27964637609249515</v>
      </c>
      <c r="H21" s="75">
        <f t="shared" si="5"/>
        <v>0.29164637609249516</v>
      </c>
      <c r="I21" s="68">
        <f t="shared" si="6"/>
        <v>0.001531389897152492</v>
      </c>
      <c r="J21" s="56"/>
      <c r="K21" s="69">
        <f t="shared" si="7"/>
        <v>0.5340839879535813</v>
      </c>
      <c r="L21" s="70">
        <f t="shared" si="8"/>
        <v>1.8729817046002868</v>
      </c>
      <c r="M21" s="34"/>
      <c r="Q21" s="113">
        <f t="shared" si="9"/>
        <v>0.18000000000000005</v>
      </c>
      <c r="R21" s="109">
        <f t="shared" si="10"/>
        <v>0.5399332649909838</v>
      </c>
      <c r="S21" s="99">
        <f t="shared" si="11"/>
        <v>0.29164637609249516</v>
      </c>
    </row>
    <row r="22" spans="1:19" ht="12.75">
      <c r="A22" s="71">
        <v>0.8</v>
      </c>
      <c r="B22" s="72">
        <v>0.19673</v>
      </c>
      <c r="C22" s="73">
        <f t="shared" si="0"/>
        <v>2.3997033999599267</v>
      </c>
      <c r="D22" s="74">
        <f t="shared" si="1"/>
        <v>0.5901170623426455</v>
      </c>
      <c r="E22" s="74">
        <f t="shared" si="2"/>
        <v>1.180234124685291</v>
      </c>
      <c r="F22" s="74">
        <f t="shared" si="3"/>
        <v>3.70782352611131</v>
      </c>
      <c r="G22" s="73">
        <f t="shared" si="4"/>
        <v>0.30898529384260914</v>
      </c>
      <c r="H22" s="75">
        <f t="shared" si="5"/>
        <v>0.32098529384260915</v>
      </c>
      <c r="I22" s="68">
        <f t="shared" si="6"/>
        <v>0.0016756714789381818</v>
      </c>
      <c r="J22" s="56"/>
      <c r="K22" s="69">
        <f t="shared" si="7"/>
        <v>0.5901170623426455</v>
      </c>
      <c r="L22" s="70">
        <f t="shared" si="8"/>
        <v>1.8515479734885185</v>
      </c>
      <c r="M22" s="34"/>
      <c r="Q22" s="113">
        <f t="shared" si="9"/>
        <v>0.19999999999999996</v>
      </c>
      <c r="R22" s="109">
        <f t="shared" si="10"/>
        <v>0.5999258499899818</v>
      </c>
      <c r="S22" s="99">
        <f t="shared" si="11"/>
        <v>0.32098529384260915</v>
      </c>
    </row>
    <row r="23" spans="1:19" ht="12.75">
      <c r="A23" s="71">
        <v>0.78</v>
      </c>
      <c r="B23" s="72">
        <v>0.2148</v>
      </c>
      <c r="C23" s="73">
        <f t="shared" si="0"/>
        <v>2.3397108149609287</v>
      </c>
      <c r="D23" s="74">
        <f t="shared" si="1"/>
        <v>0.6443203628892403</v>
      </c>
      <c r="E23" s="74">
        <f t="shared" si="2"/>
        <v>1.2886407257784807</v>
      </c>
      <c r="F23" s="74">
        <f t="shared" si="3"/>
        <v>4.048393704105675</v>
      </c>
      <c r="G23" s="73">
        <f t="shared" si="4"/>
        <v>0.33736614200880627</v>
      </c>
      <c r="H23" s="75">
        <f t="shared" si="5"/>
        <v>0.3493661420088063</v>
      </c>
      <c r="I23" s="68">
        <f t="shared" si="6"/>
        <v>0.001814535140101729</v>
      </c>
      <c r="J23" s="56"/>
      <c r="K23" s="69">
        <f t="shared" si="7"/>
        <v>0.6443203628892403</v>
      </c>
      <c r="L23" s="70">
        <f t="shared" si="8"/>
        <v>1.825835866131915</v>
      </c>
      <c r="M23" s="34"/>
      <c r="Q23" s="113">
        <f t="shared" si="9"/>
        <v>0.21999999999999997</v>
      </c>
      <c r="R23" s="109">
        <f t="shared" si="10"/>
        <v>0.6599184349889797</v>
      </c>
      <c r="S23" s="99">
        <f t="shared" si="11"/>
        <v>0.3493661420088063</v>
      </c>
    </row>
    <row r="24" spans="1:19" ht="12.75">
      <c r="A24" s="71">
        <v>0.76</v>
      </c>
      <c r="B24" s="72">
        <v>0.2321</v>
      </c>
      <c r="C24" s="73">
        <f t="shared" si="0"/>
        <v>2.2797182299619303</v>
      </c>
      <c r="D24" s="74">
        <f t="shared" si="1"/>
        <v>0.6962139489133737</v>
      </c>
      <c r="E24" s="74">
        <f t="shared" si="2"/>
        <v>1.3924278978267475</v>
      </c>
      <c r="F24" s="74">
        <f t="shared" si="3"/>
        <v>4.37445148381251</v>
      </c>
      <c r="G24" s="73">
        <f t="shared" si="4"/>
        <v>0.3645376236510425</v>
      </c>
      <c r="H24" s="75">
        <f t="shared" si="5"/>
        <v>0.3765376236510425</v>
      </c>
      <c r="I24" s="68">
        <f t="shared" si="6"/>
        <v>0.0019466067703403714</v>
      </c>
      <c r="J24" s="56"/>
      <c r="K24" s="69">
        <f t="shared" si="7"/>
        <v>0.6962139489133737</v>
      </c>
      <c r="L24" s="70">
        <f t="shared" si="8"/>
        <v>1.795733275140143</v>
      </c>
      <c r="M24" s="34"/>
      <c r="Q24" s="113">
        <f t="shared" si="9"/>
        <v>0.24</v>
      </c>
      <c r="R24" s="109">
        <f t="shared" si="10"/>
        <v>0.7199110199879781</v>
      </c>
      <c r="S24" s="99">
        <f t="shared" si="11"/>
        <v>0.3765376236510425</v>
      </c>
    </row>
    <row r="25" spans="1:19" ht="12.75">
      <c r="A25" s="71">
        <v>0.74</v>
      </c>
      <c r="B25" s="72">
        <v>0.24844</v>
      </c>
      <c r="C25" s="73">
        <f t="shared" si="0"/>
        <v>2.2197256449629323</v>
      </c>
      <c r="D25" s="74">
        <f t="shared" si="1"/>
        <v>0.7452278908575553</v>
      </c>
      <c r="E25" s="74">
        <f t="shared" si="2"/>
        <v>1.4904557817151105</v>
      </c>
      <c r="F25" s="74">
        <f t="shared" si="3"/>
        <v>4.682415883836191</v>
      </c>
      <c r="G25" s="73">
        <f t="shared" si="4"/>
        <v>0.3902013236530159</v>
      </c>
      <c r="H25" s="75">
        <f t="shared" si="5"/>
        <v>0.4022013236530159</v>
      </c>
      <c r="I25" s="68">
        <f t="shared" si="6"/>
        <v>0.0020704337387627177</v>
      </c>
      <c r="J25" s="56"/>
      <c r="K25" s="69">
        <f t="shared" si="7"/>
        <v>0.7452278908575553</v>
      </c>
      <c r="L25" s="70">
        <f t="shared" si="8"/>
        <v>1.761139290837169</v>
      </c>
      <c r="M25" s="34"/>
      <c r="Q25" s="113">
        <f t="shared" si="9"/>
        <v>0.26</v>
      </c>
      <c r="R25" s="109">
        <f t="shared" si="10"/>
        <v>0.7799036049869761</v>
      </c>
      <c r="S25" s="99">
        <f t="shared" si="11"/>
        <v>0.4022013236530159</v>
      </c>
    </row>
    <row r="26" spans="1:19" ht="12.75">
      <c r="A26" s="71">
        <v>0.72</v>
      </c>
      <c r="B26" s="72">
        <v>0.26364</v>
      </c>
      <c r="C26" s="73">
        <f t="shared" si="0"/>
        <v>2.159733059963934</v>
      </c>
      <c r="D26" s="74">
        <f t="shared" si="1"/>
        <v>0.7908222554567939</v>
      </c>
      <c r="E26" s="74">
        <f t="shared" si="2"/>
        <v>1.5816445109135877</v>
      </c>
      <c r="F26" s="74">
        <f t="shared" si="3"/>
        <v>4.968894395486127</v>
      </c>
      <c r="G26" s="73">
        <f t="shared" si="4"/>
        <v>0.4140745329571773</v>
      </c>
      <c r="H26" s="75">
        <f t="shared" si="5"/>
        <v>0.4260745329571773</v>
      </c>
      <c r="I26" s="68">
        <f t="shared" si="6"/>
        <v>0.0021845634144772607</v>
      </c>
      <c r="J26" s="56"/>
      <c r="K26" s="69">
        <f t="shared" si="7"/>
        <v>0.7908222554567939</v>
      </c>
      <c r="L26" s="70">
        <f t="shared" si="8"/>
        <v>1.7221487256751489</v>
      </c>
      <c r="M26" s="34"/>
      <c r="Q26" s="113">
        <f t="shared" si="9"/>
        <v>0.28</v>
      </c>
      <c r="R26" s="109">
        <f t="shared" si="10"/>
        <v>0.8398961899859745</v>
      </c>
      <c r="S26" s="99">
        <f t="shared" si="11"/>
        <v>0.4260745329571773</v>
      </c>
    </row>
    <row r="27" spans="1:19" ht="12.75">
      <c r="A27" s="71">
        <v>0.7</v>
      </c>
      <c r="B27" s="72">
        <v>0.27751</v>
      </c>
      <c r="C27" s="73">
        <f t="shared" si="0"/>
        <v>2.099740474964936</v>
      </c>
      <c r="D27" s="74">
        <f t="shared" si="1"/>
        <v>0.8324271131535991</v>
      </c>
      <c r="E27" s="74">
        <f t="shared" si="2"/>
        <v>1.6648542263071981</v>
      </c>
      <c r="F27" s="74">
        <f t="shared" si="3"/>
        <v>5.230306037366693</v>
      </c>
      <c r="G27" s="73">
        <f t="shared" si="4"/>
        <v>0.43585883644722445</v>
      </c>
      <c r="H27" s="75">
        <f t="shared" si="5"/>
        <v>0.44785883644722446</v>
      </c>
      <c r="I27" s="68">
        <f t="shared" si="6"/>
        <v>0.0022876216871813245</v>
      </c>
      <c r="J27" s="56"/>
      <c r="K27" s="69">
        <f t="shared" si="7"/>
        <v>0.8324271131535991</v>
      </c>
      <c r="L27" s="70">
        <f t="shared" si="8"/>
        <v>1.6789266702995587</v>
      </c>
      <c r="M27" s="34"/>
      <c r="Q27" s="113">
        <f t="shared" si="9"/>
        <v>0.30000000000000004</v>
      </c>
      <c r="R27" s="109">
        <f t="shared" si="10"/>
        <v>0.8998887749849724</v>
      </c>
      <c r="S27" s="99">
        <f t="shared" si="11"/>
        <v>0.44785883644722446</v>
      </c>
    </row>
    <row r="28" spans="1:19" ht="12.75">
      <c r="A28" s="71">
        <v>0.68</v>
      </c>
      <c r="B28" s="72">
        <v>0.28989</v>
      </c>
      <c r="C28" s="73">
        <f t="shared" si="0"/>
        <v>2.039747889965938</v>
      </c>
      <c r="D28" s="74">
        <f t="shared" si="1"/>
        <v>0.8695625232679789</v>
      </c>
      <c r="E28" s="74">
        <f t="shared" si="2"/>
        <v>1.7391250465359578</v>
      </c>
      <c r="F28" s="74">
        <f t="shared" si="3"/>
        <v>5.463635246197365</v>
      </c>
      <c r="G28" s="73">
        <f t="shared" si="4"/>
        <v>0.4553029371831137</v>
      </c>
      <c r="H28" s="75">
        <f t="shared" si="5"/>
        <v>0.4673029371831137</v>
      </c>
      <c r="I28" s="68">
        <f t="shared" si="6"/>
        <v>0.002378430748044009</v>
      </c>
      <c r="J28" s="56"/>
      <c r="K28" s="69">
        <f t="shared" si="7"/>
        <v>0.8695625232679789</v>
      </c>
      <c r="L28" s="70">
        <f t="shared" si="8"/>
        <v>1.6318090348485006</v>
      </c>
      <c r="M28" s="34"/>
      <c r="Q28" s="113">
        <f t="shared" si="9"/>
        <v>0.31999999999999995</v>
      </c>
      <c r="R28" s="109">
        <f t="shared" si="10"/>
        <v>0.9598813599839704</v>
      </c>
      <c r="S28" s="99">
        <f t="shared" si="11"/>
        <v>0.4673029371831137</v>
      </c>
    </row>
    <row r="29" spans="1:19" ht="12.75">
      <c r="A29" s="71">
        <v>0.66</v>
      </c>
      <c r="B29" s="72">
        <v>0.30064</v>
      </c>
      <c r="C29" s="73">
        <f t="shared" si="0"/>
        <v>1.9797553049669396</v>
      </c>
      <c r="D29" s="74">
        <f t="shared" si="1"/>
        <v>0.9018085377049405</v>
      </c>
      <c r="E29" s="74">
        <f t="shared" si="2"/>
        <v>1.803617075409881</v>
      </c>
      <c r="F29" s="74">
        <f t="shared" si="3"/>
        <v>5.666243404107682</v>
      </c>
      <c r="G29" s="73">
        <f t="shared" si="4"/>
        <v>0.47218695034230684</v>
      </c>
      <c r="H29" s="75">
        <f t="shared" si="5"/>
        <v>0.48418695034230685</v>
      </c>
      <c r="I29" s="68">
        <f t="shared" si="6"/>
        <v>0.002455891308823094</v>
      </c>
      <c r="J29" s="56"/>
      <c r="K29" s="69">
        <f t="shared" si="7"/>
        <v>0.9018085377049405</v>
      </c>
      <c r="L29" s="70">
        <f t="shared" si="8"/>
        <v>1.5812194627234737</v>
      </c>
      <c r="M29" s="34"/>
      <c r="Q29" s="113">
        <f t="shared" si="9"/>
        <v>0.33999999999999997</v>
      </c>
      <c r="R29" s="109">
        <f t="shared" si="10"/>
        <v>1.0198739449829688</v>
      </c>
      <c r="S29" s="99">
        <f t="shared" si="11"/>
        <v>0.48418695034230685</v>
      </c>
    </row>
    <row r="30" spans="1:19" ht="12.75">
      <c r="A30" s="71">
        <v>0.64</v>
      </c>
      <c r="B30" s="72">
        <v>0.30962</v>
      </c>
      <c r="C30" s="73">
        <f t="shared" si="0"/>
        <v>1.9197627199679415</v>
      </c>
      <c r="D30" s="74">
        <f t="shared" si="1"/>
        <v>0.9287452083694907</v>
      </c>
      <c r="E30" s="74">
        <f t="shared" si="2"/>
        <v>1.8574904167389814</v>
      </c>
      <c r="F30" s="74">
        <f t="shared" si="3"/>
        <v>5.835491893227184</v>
      </c>
      <c r="G30" s="73">
        <f t="shared" si="4"/>
        <v>0.4862909911022653</v>
      </c>
      <c r="H30" s="75">
        <f t="shared" si="5"/>
        <v>0.4982909911022653</v>
      </c>
      <c r="I30" s="68">
        <f t="shared" si="6"/>
        <v>0.0025192181636313434</v>
      </c>
      <c r="J30" s="56"/>
      <c r="K30" s="69">
        <f t="shared" si="7"/>
        <v>0.9287452083694907</v>
      </c>
      <c r="L30" s="70">
        <f t="shared" si="8"/>
        <v>1.5276141828681127</v>
      </c>
      <c r="M30" s="34"/>
      <c r="Q30" s="113">
        <f t="shared" si="9"/>
        <v>0.36</v>
      </c>
      <c r="R30" s="109">
        <f t="shared" si="10"/>
        <v>1.079866529981967</v>
      </c>
      <c r="S30" s="99">
        <f t="shared" si="11"/>
        <v>0.4982909911022653</v>
      </c>
    </row>
    <row r="31" spans="1:19" ht="12.75">
      <c r="A31" s="71">
        <v>0.62</v>
      </c>
      <c r="B31" s="72">
        <v>0.31677</v>
      </c>
      <c r="C31" s="73">
        <f t="shared" si="0"/>
        <v>1.8597701349689433</v>
      </c>
      <c r="D31" s="74">
        <f t="shared" si="1"/>
        <v>0.9501925575066325</v>
      </c>
      <c r="E31" s="74">
        <f t="shared" si="2"/>
        <v>1.900385115013265</v>
      </c>
      <c r="F31" s="74">
        <f t="shared" si="3"/>
        <v>5.970249877325673</v>
      </c>
      <c r="G31" s="73">
        <f t="shared" si="4"/>
        <v>0.4975208231104728</v>
      </c>
      <c r="H31" s="75">
        <f t="shared" si="5"/>
        <v>0.5095208231104728</v>
      </c>
      <c r="I31" s="68">
        <f t="shared" si="6"/>
        <v>0.002567940188936389</v>
      </c>
      <c r="J31" s="56"/>
      <c r="K31" s="69">
        <f t="shared" si="7"/>
        <v>0.9501925575066325</v>
      </c>
      <c r="L31" s="70">
        <f t="shared" si="8"/>
        <v>1.471586319533415</v>
      </c>
      <c r="M31" s="34"/>
      <c r="Q31" s="113">
        <f t="shared" si="9"/>
        <v>0.38</v>
      </c>
      <c r="R31" s="109">
        <f t="shared" si="10"/>
        <v>1.1398591149809651</v>
      </c>
      <c r="S31" s="99">
        <f t="shared" si="11"/>
        <v>0.5095208231104728</v>
      </c>
    </row>
    <row r="32" spans="1:19" ht="12.75">
      <c r="A32" s="71">
        <v>0.6</v>
      </c>
      <c r="B32" s="72">
        <v>0.32203</v>
      </c>
      <c r="C32" s="73">
        <f t="shared" si="0"/>
        <v>1.799777549969945</v>
      </c>
      <c r="D32" s="74">
        <f t="shared" si="1"/>
        <v>0.965970607361369</v>
      </c>
      <c r="E32" s="74">
        <f t="shared" si="2"/>
        <v>1.931941214722738</v>
      </c>
      <c r="F32" s="74">
        <f t="shared" si="3"/>
        <v>6.069386520172953</v>
      </c>
      <c r="G32" s="73">
        <f t="shared" si="4"/>
        <v>0.5057822100144128</v>
      </c>
      <c r="H32" s="75">
        <f t="shared" si="5"/>
        <v>0.5177822100144128</v>
      </c>
      <c r="I32" s="68">
        <f t="shared" si="6"/>
        <v>0.0026018218229720592</v>
      </c>
      <c r="J32" s="56"/>
      <c r="K32" s="69">
        <f t="shared" si="7"/>
        <v>0.965970607361369</v>
      </c>
      <c r="L32" s="70">
        <f t="shared" si="8"/>
        <v>1.4137057234960253</v>
      </c>
      <c r="M32" s="34"/>
      <c r="Q32" s="113">
        <f t="shared" si="9"/>
        <v>0.4</v>
      </c>
      <c r="R32" s="109">
        <f t="shared" si="10"/>
        <v>1.1998516999799633</v>
      </c>
      <c r="S32" s="99">
        <f t="shared" si="11"/>
        <v>0.5177822100144128</v>
      </c>
    </row>
    <row r="33" spans="1:19" ht="12.75">
      <c r="A33" s="71">
        <v>0.58</v>
      </c>
      <c r="B33" s="72">
        <v>0.3254</v>
      </c>
      <c r="C33" s="73">
        <f t="shared" si="0"/>
        <v>1.7397849649709467</v>
      </c>
      <c r="D33" s="74">
        <f t="shared" si="1"/>
        <v>0.9760793579337003</v>
      </c>
      <c r="E33" s="74">
        <f t="shared" si="2"/>
        <v>1.9521587158674005</v>
      </c>
      <c r="F33" s="74">
        <f t="shared" si="3"/>
        <v>6.132901821769026</v>
      </c>
      <c r="G33" s="73">
        <f t="shared" si="4"/>
        <v>0.5110751518140855</v>
      </c>
      <c r="H33" s="75">
        <f t="shared" si="5"/>
        <v>0.5230751518140855</v>
      </c>
      <c r="I33" s="68">
        <f t="shared" si="6"/>
        <v>0.002620980846621395</v>
      </c>
      <c r="J33" s="56"/>
      <c r="K33" s="69">
        <f t="shared" si="7"/>
        <v>0.9760793579337003</v>
      </c>
      <c r="L33" s="70">
        <f t="shared" si="8"/>
        <v>1.3545709332560283</v>
      </c>
      <c r="M33" s="34"/>
      <c r="Q33" s="113">
        <f t="shared" si="9"/>
        <v>0.42000000000000004</v>
      </c>
      <c r="R33" s="109">
        <f t="shared" si="10"/>
        <v>1.2598442849789617</v>
      </c>
      <c r="S33" s="99">
        <f t="shared" si="11"/>
        <v>0.5230751518140855</v>
      </c>
    </row>
    <row r="34" spans="1:19" ht="12.75">
      <c r="A34" s="71">
        <v>0.56</v>
      </c>
      <c r="B34" s="72">
        <v>0.32691</v>
      </c>
      <c r="C34" s="73">
        <f t="shared" si="0"/>
        <v>1.679792379971949</v>
      </c>
      <c r="D34" s="74">
        <f t="shared" si="1"/>
        <v>0.9806087981011244</v>
      </c>
      <c r="E34" s="74">
        <f t="shared" si="2"/>
        <v>1.961217596202249</v>
      </c>
      <c r="F34" s="74">
        <f t="shared" si="3"/>
        <v>6.161361200228985</v>
      </c>
      <c r="G34" s="73">
        <f t="shared" si="4"/>
        <v>0.5134467666857487</v>
      </c>
      <c r="H34" s="75">
        <f t="shared" si="5"/>
        <v>0.5254467666857487</v>
      </c>
      <c r="I34" s="68">
        <f t="shared" si="6"/>
        <v>0.002625770602533765</v>
      </c>
      <c r="J34" s="56"/>
      <c r="K34" s="69">
        <f t="shared" si="7"/>
        <v>0.9806087981011244</v>
      </c>
      <c r="L34" s="70">
        <f t="shared" si="8"/>
        <v>1.2947495789865728</v>
      </c>
      <c r="M34" s="34"/>
      <c r="Q34" s="113">
        <f t="shared" si="9"/>
        <v>0.43999999999999995</v>
      </c>
      <c r="R34" s="109">
        <f t="shared" si="10"/>
        <v>1.3198368699779595</v>
      </c>
      <c r="S34" s="99">
        <f t="shared" si="11"/>
        <v>0.5254467666857487</v>
      </c>
    </row>
    <row r="35" spans="1:19" ht="12.75">
      <c r="A35" s="71">
        <v>0.54</v>
      </c>
      <c r="B35" s="72">
        <v>0.32662</v>
      </c>
      <c r="C35" s="73">
        <f t="shared" si="0"/>
        <v>1.6197997949729506</v>
      </c>
      <c r="D35" s="74">
        <f t="shared" si="1"/>
        <v>0.9797389056186392</v>
      </c>
      <c r="E35" s="74">
        <f t="shared" si="2"/>
        <v>1.9594778112372784</v>
      </c>
      <c r="F35" s="74">
        <f t="shared" si="3"/>
        <v>6.155895491783034</v>
      </c>
      <c r="G35" s="73">
        <f t="shared" si="4"/>
        <v>0.5129912909819195</v>
      </c>
      <c r="H35" s="75">
        <f t="shared" si="5"/>
        <v>0.5249912909819195</v>
      </c>
      <c r="I35" s="68">
        <f t="shared" si="6"/>
        <v>0.0026167407348301618</v>
      </c>
      <c r="J35" s="56"/>
      <c r="K35" s="69">
        <f t="shared" si="7"/>
        <v>0.9797389056186392</v>
      </c>
      <c r="L35" s="70">
        <f t="shared" si="8"/>
        <v>1.2347633010396042</v>
      </c>
      <c r="M35" s="34"/>
      <c r="Q35" s="113">
        <f t="shared" si="9"/>
        <v>0.45999999999999996</v>
      </c>
      <c r="R35" s="109">
        <f t="shared" si="10"/>
        <v>1.3798294549769579</v>
      </c>
      <c r="S35" s="99">
        <f t="shared" si="11"/>
        <v>0.5249912909819195</v>
      </c>
    </row>
    <row r="36" spans="1:19" ht="12.75">
      <c r="A36" s="71">
        <v>0.52</v>
      </c>
      <c r="B36" s="72">
        <v>0.32461</v>
      </c>
      <c r="C36" s="73">
        <f t="shared" si="0"/>
        <v>1.5598072099739524</v>
      </c>
      <c r="D36" s="74">
        <f t="shared" si="1"/>
        <v>0.9737096508262398</v>
      </c>
      <c r="E36" s="74">
        <f t="shared" si="2"/>
        <v>1.9474193016524797</v>
      </c>
      <c r="F36" s="74">
        <f t="shared" si="3"/>
        <v>6.11801247807143</v>
      </c>
      <c r="G36" s="73">
        <f t="shared" si="4"/>
        <v>0.5098343731726191</v>
      </c>
      <c r="H36" s="75">
        <f t="shared" si="5"/>
        <v>0.5218343731726192</v>
      </c>
      <c r="I36" s="68">
        <f t="shared" si="6"/>
        <v>0.0025946764493979006</v>
      </c>
      <c r="J36" s="56"/>
      <c r="K36" s="69">
        <f t="shared" si="7"/>
        <v>0.9737096508262398</v>
      </c>
      <c r="L36" s="70">
        <f t="shared" si="8"/>
        <v>1.1750744550002448</v>
      </c>
      <c r="M36" s="34"/>
      <c r="Q36" s="113">
        <f t="shared" si="9"/>
        <v>0.48</v>
      </c>
      <c r="R36" s="109">
        <f t="shared" si="10"/>
        <v>1.439822039975956</v>
      </c>
      <c r="S36" s="99">
        <f t="shared" si="11"/>
        <v>0.5218343731726192</v>
      </c>
    </row>
    <row r="37" spans="1:19" ht="12.75">
      <c r="A37" s="71">
        <v>0.5</v>
      </c>
      <c r="B37" s="72">
        <v>0.321</v>
      </c>
      <c r="C37" s="73">
        <f t="shared" si="0"/>
        <v>1.4998146249749542</v>
      </c>
      <c r="D37" s="74">
        <f t="shared" si="1"/>
        <v>0.9628809892339206</v>
      </c>
      <c r="E37" s="74">
        <f t="shared" si="2"/>
        <v>1.9257619784678413</v>
      </c>
      <c r="F37" s="74">
        <f t="shared" si="3"/>
        <v>6.04997383155457</v>
      </c>
      <c r="G37" s="73">
        <f t="shared" si="4"/>
        <v>0.5041644859628808</v>
      </c>
      <c r="H37" s="75">
        <f t="shared" si="5"/>
        <v>0.5161644859628808</v>
      </c>
      <c r="I37" s="68">
        <f t="shared" si="6"/>
        <v>0.0025605199933016964</v>
      </c>
      <c r="J37" s="56"/>
      <c r="K37" s="69">
        <f t="shared" si="7"/>
        <v>0.9628809892339206</v>
      </c>
      <c r="L37" s="70">
        <f t="shared" si="8"/>
        <v>1.1160672491438322</v>
      </c>
      <c r="M37" s="34"/>
      <c r="Q37" s="113">
        <f t="shared" si="9"/>
        <v>0.5</v>
      </c>
      <c r="R37" s="109">
        <f t="shared" si="10"/>
        <v>1.4998146249749542</v>
      </c>
      <c r="S37" s="99">
        <f t="shared" si="11"/>
        <v>0.5161644859628808</v>
      </c>
    </row>
    <row r="38" spans="1:19" ht="12.75">
      <c r="A38" s="71">
        <v>0.48</v>
      </c>
      <c r="B38" s="72">
        <v>0.31591</v>
      </c>
      <c r="C38" s="73">
        <f t="shared" si="0"/>
        <v>1.439822039975956</v>
      </c>
      <c r="D38" s="74">
        <f t="shared" si="1"/>
        <v>0.9476128763516757</v>
      </c>
      <c r="E38" s="74">
        <f t="shared" si="2"/>
        <v>1.8952257527033514</v>
      </c>
      <c r="F38" s="74">
        <f t="shared" si="3"/>
        <v>5.9540412246928485</v>
      </c>
      <c r="G38" s="73">
        <f t="shared" si="4"/>
        <v>0.49617010205773737</v>
      </c>
      <c r="H38" s="75">
        <f t="shared" si="5"/>
        <v>0.5081701020577374</v>
      </c>
      <c r="I38" s="68">
        <f t="shared" si="6"/>
        <v>0.002515174353311908</v>
      </c>
      <c r="J38" s="56"/>
      <c r="K38" s="69">
        <f t="shared" si="7"/>
        <v>0.9476128763516757</v>
      </c>
      <c r="L38" s="70">
        <f t="shared" si="8"/>
        <v>1.0580500535559976</v>
      </c>
      <c r="M38" s="34"/>
      <c r="Q38" s="113">
        <f t="shared" si="9"/>
        <v>0.52</v>
      </c>
      <c r="R38" s="109">
        <f t="shared" si="10"/>
        <v>1.5598072099739524</v>
      </c>
      <c r="S38" s="99">
        <f t="shared" si="11"/>
        <v>0.5081701020577374</v>
      </c>
    </row>
    <row r="39" spans="1:19" ht="12.75">
      <c r="A39" s="71">
        <v>0.46</v>
      </c>
      <c r="B39" s="72">
        <v>0.30945</v>
      </c>
      <c r="C39" s="73">
        <f t="shared" si="0"/>
        <v>1.3798294549769579</v>
      </c>
      <c r="D39" s="74">
        <f t="shared" si="1"/>
        <v>0.9282352713969991</v>
      </c>
      <c r="E39" s="74">
        <f t="shared" si="2"/>
        <v>1.8564705427939983</v>
      </c>
      <c r="F39" s="74">
        <f t="shared" si="3"/>
        <v>5.832287857241625</v>
      </c>
      <c r="G39" s="73">
        <f t="shared" si="4"/>
        <v>0.48602398810346875</v>
      </c>
      <c r="H39" s="75">
        <f t="shared" si="5"/>
        <v>0.49802398810346876</v>
      </c>
      <c r="I39" s="68">
        <f t="shared" si="6"/>
        <v>0.0024595817764932583</v>
      </c>
      <c r="J39" s="56"/>
      <c r="K39" s="69">
        <f t="shared" si="7"/>
        <v>0.9282352713969991</v>
      </c>
      <c r="L39" s="70">
        <f t="shared" si="8"/>
        <v>1.001273133235479</v>
      </c>
      <c r="M39" s="34"/>
      <c r="Q39" s="113">
        <f t="shared" si="9"/>
        <v>0.54</v>
      </c>
      <c r="R39" s="109">
        <f t="shared" si="10"/>
        <v>1.6197997949729506</v>
      </c>
      <c r="S39" s="99">
        <f t="shared" si="11"/>
        <v>0.49802398810346876</v>
      </c>
    </row>
    <row r="40" spans="1:19" ht="12.75">
      <c r="A40" s="71">
        <v>0.44</v>
      </c>
      <c r="B40" s="72">
        <v>0.30175</v>
      </c>
      <c r="C40" s="73">
        <f t="shared" si="0"/>
        <v>1.3198368699779597</v>
      </c>
      <c r="D40" s="74">
        <f t="shared" si="1"/>
        <v>0.9051381261723849</v>
      </c>
      <c r="E40" s="74">
        <f t="shared" si="2"/>
        <v>1.8102762523447697</v>
      </c>
      <c r="F40" s="74">
        <f t="shared" si="3"/>
        <v>5.687163874366329</v>
      </c>
      <c r="G40" s="73">
        <f t="shared" si="4"/>
        <v>0.4739303228638607</v>
      </c>
      <c r="H40" s="75">
        <f t="shared" si="5"/>
        <v>0.48593032286386073</v>
      </c>
      <c r="I40" s="68">
        <f t="shared" si="6"/>
        <v>0.0023948022907935604</v>
      </c>
      <c r="J40" s="56"/>
      <c r="K40" s="69">
        <f t="shared" si="7"/>
        <v>0.9051381261723849</v>
      </c>
      <c r="L40" s="70">
        <f t="shared" si="8"/>
        <v>0.9459049823061305</v>
      </c>
      <c r="M40" s="34"/>
      <c r="Q40" s="113">
        <f t="shared" si="9"/>
        <v>0.56</v>
      </c>
      <c r="R40" s="109">
        <f t="shared" si="10"/>
        <v>1.6797923799719487</v>
      </c>
      <c r="S40" s="99">
        <f t="shared" si="11"/>
        <v>0.48593032286386073</v>
      </c>
    </row>
    <row r="41" spans="1:19" ht="12.75">
      <c r="A41" s="71">
        <v>0.42</v>
      </c>
      <c r="B41" s="72">
        <v>0.29295</v>
      </c>
      <c r="C41" s="73">
        <f t="shared" si="0"/>
        <v>1.2598442849789615</v>
      </c>
      <c r="D41" s="74">
        <f t="shared" si="1"/>
        <v>0.8787413887728256</v>
      </c>
      <c r="E41" s="74">
        <f t="shared" si="2"/>
        <v>1.7574827775456512</v>
      </c>
      <c r="F41" s="74">
        <f t="shared" si="3"/>
        <v>5.521307893937418</v>
      </c>
      <c r="G41" s="73">
        <f t="shared" si="4"/>
        <v>0.4601089911614515</v>
      </c>
      <c r="H41" s="75">
        <f t="shared" si="5"/>
        <v>0.4721089911614515</v>
      </c>
      <c r="I41" s="68">
        <f t="shared" si="6"/>
        <v>0.0023218174035719613</v>
      </c>
      <c r="J41" s="56"/>
      <c r="K41" s="69">
        <f t="shared" si="7"/>
        <v>0.8787413887728256</v>
      </c>
      <c r="L41" s="70">
        <f t="shared" si="8"/>
        <v>0.8920317745909709</v>
      </c>
      <c r="M41" s="34"/>
      <c r="Q41" s="113">
        <f t="shared" si="9"/>
        <v>0.5800000000000001</v>
      </c>
      <c r="R41" s="109">
        <f t="shared" si="10"/>
        <v>1.739784964970947</v>
      </c>
      <c r="S41" s="99">
        <f t="shared" si="11"/>
        <v>0.4721089911614515</v>
      </c>
    </row>
    <row r="42" spans="1:19" ht="12.75">
      <c r="A42" s="71">
        <v>0.39999999999999947</v>
      </c>
      <c r="B42" s="72">
        <v>0.28316</v>
      </c>
      <c r="C42" s="73">
        <f t="shared" si="0"/>
        <v>1.1998516999799618</v>
      </c>
      <c r="D42" s="74">
        <f t="shared" si="1"/>
        <v>0.8493750184158161</v>
      </c>
      <c r="E42" s="74">
        <f t="shared" si="2"/>
        <v>1.6987500368316322</v>
      </c>
      <c r="F42" s="74">
        <f t="shared" si="3"/>
        <v>5.336793115710256</v>
      </c>
      <c r="G42" s="73">
        <f t="shared" si="4"/>
        <v>0.4447327596425213</v>
      </c>
      <c r="H42" s="75">
        <f t="shared" si="5"/>
        <v>0.4567327596425213</v>
      </c>
      <c r="I42" s="68">
        <f t="shared" si="6"/>
        <v>0.0022415693618930027</v>
      </c>
      <c r="J42" s="56"/>
      <c r="K42" s="69">
        <f t="shared" si="7"/>
        <v>0.8493750184158161</v>
      </c>
      <c r="L42" s="70">
        <f t="shared" si="8"/>
        <v>0.839718042675563</v>
      </c>
      <c r="M42" s="34"/>
      <c r="Q42" s="113">
        <f t="shared" si="9"/>
        <v>0.6000000000000005</v>
      </c>
      <c r="R42" s="109">
        <f t="shared" si="10"/>
        <v>1.7997775499699467</v>
      </c>
      <c r="S42" s="99">
        <f t="shared" si="11"/>
        <v>0.4567327596425213</v>
      </c>
    </row>
    <row r="43" spans="1:19" ht="12.75">
      <c r="A43" s="71">
        <v>0.37999999999999945</v>
      </c>
      <c r="B43" s="72">
        <v>0.27251</v>
      </c>
      <c r="C43" s="73">
        <f t="shared" si="0"/>
        <v>1.1398591149809636</v>
      </c>
      <c r="D43" s="74">
        <f t="shared" si="1"/>
        <v>0.8174289669038495</v>
      </c>
      <c r="E43" s="74">
        <f t="shared" si="2"/>
        <v>1.634857933807699</v>
      </c>
      <c r="F43" s="74">
        <f t="shared" si="3"/>
        <v>5.136069684850267</v>
      </c>
      <c r="G43" s="73">
        <f t="shared" si="4"/>
        <v>0.4280058070708556</v>
      </c>
      <c r="H43" s="75">
        <f t="shared" si="5"/>
        <v>0.4400058070708556</v>
      </c>
      <c r="I43" s="68">
        <f t="shared" si="6"/>
        <v>0.002154921892232861</v>
      </c>
      <c r="J43" s="56"/>
      <c r="K43" s="69">
        <f t="shared" si="7"/>
        <v>0.8174289669038495</v>
      </c>
      <c r="L43" s="70">
        <f t="shared" si="8"/>
        <v>0.7889385187741242</v>
      </c>
      <c r="M43" s="34"/>
      <c r="Q43" s="113">
        <f t="shared" si="9"/>
        <v>0.6200000000000006</v>
      </c>
      <c r="R43" s="109">
        <f t="shared" si="10"/>
        <v>1.8597701349689448</v>
      </c>
      <c r="S43" s="99">
        <f t="shared" si="11"/>
        <v>0.4400058070708556</v>
      </c>
    </row>
    <row r="44" spans="1:19" ht="12.75">
      <c r="A44" s="71">
        <v>0.35999999999999943</v>
      </c>
      <c r="B44" s="72">
        <v>0.26109</v>
      </c>
      <c r="C44" s="73">
        <f aca="true" t="shared" si="12" ref="C44:C62">$G$4*A44</f>
        <v>1.0798665299819654</v>
      </c>
      <c r="D44" s="74">
        <f aca="true" t="shared" si="13" ref="D44:D62">$G$4*B44</f>
        <v>0.7831732008694215</v>
      </c>
      <c r="E44" s="74">
        <f aca="true" t="shared" si="14" ref="E44:E62">D44*2</f>
        <v>1.566346401738843</v>
      </c>
      <c r="F44" s="74">
        <f aca="true" t="shared" si="15" ref="F44:F62">E44*3.1416</f>
        <v>4.92083385570275</v>
      </c>
      <c r="G44" s="73">
        <f aca="true" t="shared" si="16" ref="G44:G62">F44/($C$6)</f>
        <v>0.41006948797522913</v>
      </c>
      <c r="H44" s="75">
        <f aca="true" t="shared" si="17" ref="H44:H62">G44+(2*$C$5/1000)</f>
        <v>0.42206948797522914</v>
      </c>
      <c r="I44" s="68">
        <f aca="true" t="shared" si="18" ref="I44:I62">ABS(C44-C45)*H45/12-ABS(C44-C45)*(H45-H44)/24</f>
        <v>0.0020626209401843907</v>
      </c>
      <c r="J44" s="56"/>
      <c r="K44" s="69">
        <f aca="true" t="shared" si="19" ref="K44:K62">D44</f>
        <v>0.7831732008694215</v>
      </c>
      <c r="L44" s="70">
        <f aca="true" t="shared" si="20" ref="L44:L61">L45+SQRT(ABS((C44-C45)^2-(D44-D45)^2))</f>
        <v>0.7396876025566917</v>
      </c>
      <c r="M44" s="34"/>
      <c r="Q44" s="113">
        <f aca="true" t="shared" si="21" ref="Q44:Q62">1-A44</f>
        <v>0.6400000000000006</v>
      </c>
      <c r="R44" s="109">
        <f aca="true" t="shared" si="22" ref="R44:R62">$G$4-C44</f>
        <v>1.919762719967943</v>
      </c>
      <c r="S44" s="99">
        <f aca="true" t="shared" si="23" ref="S44:S62">H44</f>
        <v>0.42206948797522914</v>
      </c>
    </row>
    <row r="45" spans="1:19" ht="12.75">
      <c r="A45" s="71">
        <v>0.3399999999999994</v>
      </c>
      <c r="B45" s="72">
        <v>0.249</v>
      </c>
      <c r="C45" s="73">
        <f t="shared" si="12"/>
        <v>1.019873944982967</v>
      </c>
      <c r="D45" s="74">
        <f t="shared" si="13"/>
        <v>0.7469076832375272</v>
      </c>
      <c r="E45" s="74">
        <f t="shared" si="14"/>
        <v>1.4938153664750544</v>
      </c>
      <c r="F45" s="74">
        <f t="shared" si="15"/>
        <v>4.692970355318031</v>
      </c>
      <c r="G45" s="73">
        <f t="shared" si="16"/>
        <v>0.39108086294316924</v>
      </c>
      <c r="H45" s="75">
        <f t="shared" si="17"/>
        <v>0.40308086294316925</v>
      </c>
      <c r="I45" s="68">
        <f t="shared" si="18"/>
        <v>0.001965412451340473</v>
      </c>
      <c r="J45" s="56"/>
      <c r="K45" s="69">
        <f t="shared" si="19"/>
        <v>0.7469076832375272</v>
      </c>
      <c r="L45" s="70">
        <f t="shared" si="20"/>
        <v>0.6918972009497497</v>
      </c>
      <c r="M45" s="34"/>
      <c r="Q45" s="113">
        <f t="shared" si="21"/>
        <v>0.6600000000000006</v>
      </c>
      <c r="R45" s="109">
        <f t="shared" si="22"/>
        <v>1.9797553049669414</v>
      </c>
      <c r="S45" s="99">
        <f t="shared" si="23"/>
        <v>0.40308086294316925</v>
      </c>
    </row>
    <row r="46" spans="1:19" ht="12.75">
      <c r="A46" s="71">
        <v>0.3199999999999994</v>
      </c>
      <c r="B46" s="72">
        <v>0.23633</v>
      </c>
      <c r="C46" s="73">
        <f t="shared" si="12"/>
        <v>0.9598813599839688</v>
      </c>
      <c r="D46" s="74">
        <f t="shared" si="13"/>
        <v>0.7089023806406619</v>
      </c>
      <c r="E46" s="74">
        <f t="shared" si="14"/>
        <v>1.4178047612813238</v>
      </c>
      <c r="F46" s="74">
        <f t="shared" si="15"/>
        <v>4.454175438041407</v>
      </c>
      <c r="G46" s="73">
        <f t="shared" si="16"/>
        <v>0.37118128650345056</v>
      </c>
      <c r="H46" s="75">
        <f t="shared" si="17"/>
        <v>0.38318128650345057</v>
      </c>
      <c r="I46" s="68">
        <f t="shared" si="18"/>
        <v>0.0018640031109996731</v>
      </c>
      <c r="J46" s="56"/>
      <c r="K46" s="69">
        <f t="shared" si="19"/>
        <v>0.7089023806406619</v>
      </c>
      <c r="L46" s="70">
        <f t="shared" si="20"/>
        <v>0.645478376865304</v>
      </c>
      <c r="M46" s="34"/>
      <c r="Q46" s="113">
        <f t="shared" si="21"/>
        <v>0.6800000000000006</v>
      </c>
      <c r="R46" s="109">
        <f t="shared" si="22"/>
        <v>2.0397478899659394</v>
      </c>
      <c r="S46" s="99">
        <f t="shared" si="23"/>
        <v>0.38318128650345057</v>
      </c>
    </row>
    <row r="47" spans="1:19" ht="12.75">
      <c r="A47" s="71">
        <v>0.2999999999999994</v>
      </c>
      <c r="B47" s="72">
        <v>0.22317</v>
      </c>
      <c r="C47" s="73">
        <f t="shared" si="12"/>
        <v>0.8998887749849707</v>
      </c>
      <c r="D47" s="74">
        <f t="shared" si="13"/>
        <v>0.6694272597113211</v>
      </c>
      <c r="E47" s="74">
        <f t="shared" si="14"/>
        <v>1.3388545194226422</v>
      </c>
      <c r="F47" s="74">
        <f t="shared" si="15"/>
        <v>4.206145358218173</v>
      </c>
      <c r="G47" s="73">
        <f t="shared" si="16"/>
        <v>0.3505121131848477</v>
      </c>
      <c r="H47" s="75">
        <f t="shared" si="17"/>
        <v>0.3625121131848477</v>
      </c>
      <c r="I47" s="68">
        <f t="shared" si="18"/>
        <v>0.0017590210838717994</v>
      </c>
      <c r="J47" s="56"/>
      <c r="K47" s="69">
        <f t="shared" si="19"/>
        <v>0.6694272597113211</v>
      </c>
      <c r="L47" s="70">
        <f t="shared" si="20"/>
        <v>0.6003028848095893</v>
      </c>
      <c r="M47" s="34"/>
      <c r="Q47" s="113">
        <f t="shared" si="21"/>
        <v>0.7000000000000006</v>
      </c>
      <c r="R47" s="109">
        <f t="shared" si="22"/>
        <v>2.0997404749649378</v>
      </c>
      <c r="S47" s="99">
        <f t="shared" si="23"/>
        <v>0.3625121131848477</v>
      </c>
    </row>
    <row r="48" spans="1:19" ht="12.75">
      <c r="A48" s="71">
        <v>0.27999999999999936</v>
      </c>
      <c r="B48" s="72">
        <v>0.20959</v>
      </c>
      <c r="C48" s="73">
        <f t="shared" si="12"/>
        <v>0.8398961899859725</v>
      </c>
      <c r="D48" s="74">
        <f t="shared" si="13"/>
        <v>0.6286922944970013</v>
      </c>
      <c r="E48" s="74">
        <f t="shared" si="14"/>
        <v>1.2573845889940025</v>
      </c>
      <c r="F48" s="74">
        <f t="shared" si="15"/>
        <v>3.950199424783558</v>
      </c>
      <c r="G48" s="73">
        <f t="shared" si="16"/>
        <v>0.32918328539862984</v>
      </c>
      <c r="H48" s="75">
        <f t="shared" si="17"/>
        <v>0.34118328539862985</v>
      </c>
      <c r="I48" s="68">
        <f t="shared" si="18"/>
        <v>0.0016509374934892155</v>
      </c>
      <c r="J48" s="56"/>
      <c r="K48" s="69">
        <f t="shared" si="19"/>
        <v>0.6286922944970013</v>
      </c>
      <c r="L48" s="70">
        <f t="shared" si="20"/>
        <v>0.5562600322242927</v>
      </c>
      <c r="M48" s="34"/>
      <c r="Q48" s="113">
        <f t="shared" si="21"/>
        <v>0.7200000000000006</v>
      </c>
      <c r="R48" s="109">
        <f t="shared" si="22"/>
        <v>2.159733059963936</v>
      </c>
      <c r="S48" s="99">
        <f t="shared" si="23"/>
        <v>0.34118328539862985</v>
      </c>
    </row>
    <row r="49" spans="1:19" ht="12.75">
      <c r="A49" s="71">
        <v>0.25999999999999934</v>
      </c>
      <c r="B49" s="72">
        <v>0.19564</v>
      </c>
      <c r="C49" s="73">
        <f t="shared" si="12"/>
        <v>0.7799036049869742</v>
      </c>
      <c r="D49" s="74">
        <f t="shared" si="13"/>
        <v>0.5868474664602001</v>
      </c>
      <c r="E49" s="74">
        <f t="shared" si="14"/>
        <v>1.1736949329204003</v>
      </c>
      <c r="F49" s="74">
        <f t="shared" si="15"/>
        <v>3.6872800012627294</v>
      </c>
      <c r="G49" s="73">
        <f t="shared" si="16"/>
        <v>0.3072733334385608</v>
      </c>
      <c r="H49" s="75">
        <f t="shared" si="17"/>
        <v>0.3192733334385608</v>
      </c>
      <c r="I49" s="68">
        <f t="shared" si="18"/>
        <v>0.0015402234633842746</v>
      </c>
      <c r="J49" s="56"/>
      <c r="K49" s="69">
        <f t="shared" si="19"/>
        <v>0.5868474664602001</v>
      </c>
      <c r="L49" s="70">
        <f t="shared" si="20"/>
        <v>0.5132702587725451</v>
      </c>
      <c r="M49" s="34"/>
      <c r="Q49" s="113">
        <f t="shared" si="21"/>
        <v>0.7400000000000007</v>
      </c>
      <c r="R49" s="109">
        <f t="shared" si="22"/>
        <v>2.219725644962934</v>
      </c>
      <c r="S49" s="99">
        <f t="shared" si="23"/>
        <v>0.3192733334385608</v>
      </c>
    </row>
    <row r="50" spans="1:19" ht="12.75">
      <c r="A50" s="71">
        <v>0.23999999999999932</v>
      </c>
      <c r="B50" s="72">
        <v>0.18139</v>
      </c>
      <c r="C50" s="73">
        <f t="shared" si="12"/>
        <v>0.719911019987976</v>
      </c>
      <c r="D50" s="74">
        <f t="shared" si="13"/>
        <v>0.5441027496484139</v>
      </c>
      <c r="E50" s="74">
        <f t="shared" si="14"/>
        <v>1.0882054992968277</v>
      </c>
      <c r="F50" s="74">
        <f t="shared" si="15"/>
        <v>3.418706396590914</v>
      </c>
      <c r="G50" s="73">
        <f t="shared" si="16"/>
        <v>0.2848921997159095</v>
      </c>
      <c r="H50" s="75">
        <f t="shared" si="17"/>
        <v>0.2968921997159095</v>
      </c>
      <c r="I50" s="68">
        <f t="shared" si="18"/>
        <v>0.001427350117089349</v>
      </c>
      <c r="J50" s="56"/>
      <c r="K50" s="69">
        <f t="shared" si="19"/>
        <v>0.5441027496484139</v>
      </c>
      <c r="L50" s="70">
        <f t="shared" si="20"/>
        <v>0.47117513506988545</v>
      </c>
      <c r="M50" s="34"/>
      <c r="Q50" s="113">
        <f t="shared" si="21"/>
        <v>0.7600000000000007</v>
      </c>
      <c r="R50" s="109">
        <f t="shared" si="22"/>
        <v>2.2797182299619325</v>
      </c>
      <c r="S50" s="99">
        <f t="shared" si="23"/>
        <v>0.2968921997159095</v>
      </c>
    </row>
    <row r="51" spans="1:19" ht="12.75">
      <c r="A51" s="71">
        <v>0.2199999999999993</v>
      </c>
      <c r="B51" s="72">
        <v>0.16689</v>
      </c>
      <c r="C51" s="73">
        <f t="shared" si="12"/>
        <v>0.6599184349889777</v>
      </c>
      <c r="D51" s="74">
        <f t="shared" si="13"/>
        <v>0.5006081255241402</v>
      </c>
      <c r="E51" s="74">
        <f t="shared" si="14"/>
        <v>1.0012162510482805</v>
      </c>
      <c r="F51" s="74">
        <f t="shared" si="15"/>
        <v>3.145420974293278</v>
      </c>
      <c r="G51" s="73">
        <f t="shared" si="16"/>
        <v>0.26211841452443985</v>
      </c>
      <c r="H51" s="75">
        <f t="shared" si="17"/>
        <v>0.27411841452443986</v>
      </c>
      <c r="I51" s="68">
        <f t="shared" si="18"/>
        <v>0.0013126707972536998</v>
      </c>
      <c r="J51" s="56"/>
      <c r="K51" s="69">
        <f t="shared" si="19"/>
        <v>0.5006081255241402</v>
      </c>
      <c r="L51" s="70">
        <f t="shared" si="20"/>
        <v>0.42985531020154666</v>
      </c>
      <c r="M51" s="34"/>
      <c r="Q51" s="113">
        <f t="shared" si="21"/>
        <v>0.7800000000000007</v>
      </c>
      <c r="R51" s="109">
        <f t="shared" si="22"/>
        <v>2.339710814960931</v>
      </c>
      <c r="S51" s="99">
        <f t="shared" si="23"/>
        <v>0.27411841452443986</v>
      </c>
    </row>
    <row r="52" spans="1:19" ht="12.75">
      <c r="A52" s="71">
        <v>0.1999999999999993</v>
      </c>
      <c r="B52" s="72">
        <v>0.15218</v>
      </c>
      <c r="C52" s="73">
        <f t="shared" si="12"/>
        <v>0.5999258499899796</v>
      </c>
      <c r="D52" s="74">
        <f t="shared" si="13"/>
        <v>0.4564835792573771</v>
      </c>
      <c r="E52" s="74">
        <f t="shared" si="14"/>
        <v>0.9129671585147542</v>
      </c>
      <c r="F52" s="74">
        <f t="shared" si="15"/>
        <v>2.8681776251899516</v>
      </c>
      <c r="G52" s="73">
        <f t="shared" si="16"/>
        <v>0.23901480209916262</v>
      </c>
      <c r="H52" s="75">
        <f t="shared" si="17"/>
        <v>0.2510148020991626</v>
      </c>
      <c r="I52" s="68">
        <f t="shared" si="18"/>
        <v>0.0011964995862322415</v>
      </c>
      <c r="J52" s="56"/>
      <c r="K52" s="69">
        <f t="shared" si="19"/>
        <v>0.4564835792573771</v>
      </c>
      <c r="L52" s="70">
        <f t="shared" si="20"/>
        <v>0.38920885068027594</v>
      </c>
      <c r="M52" s="34"/>
      <c r="Q52" s="113">
        <f t="shared" si="21"/>
        <v>0.8000000000000007</v>
      </c>
      <c r="R52" s="109">
        <f t="shared" si="22"/>
        <v>2.399703399959929</v>
      </c>
      <c r="S52" s="99">
        <f t="shared" si="23"/>
        <v>0.2510148020991626</v>
      </c>
    </row>
    <row r="53" spans="1:19" ht="12.75">
      <c r="A53" s="71">
        <v>0.17999999999999927</v>
      </c>
      <c r="B53" s="72">
        <v>0.1373</v>
      </c>
      <c r="C53" s="73">
        <f t="shared" si="12"/>
        <v>0.5399332649909814</v>
      </c>
      <c r="D53" s="74">
        <f t="shared" si="13"/>
        <v>0.4118490960181224</v>
      </c>
      <c r="E53" s="74">
        <f t="shared" si="14"/>
        <v>0.8236981920362448</v>
      </c>
      <c r="F53" s="74">
        <f t="shared" si="15"/>
        <v>2.5877302401010667</v>
      </c>
      <c r="G53" s="73">
        <f t="shared" si="16"/>
        <v>0.2156441866750889</v>
      </c>
      <c r="H53" s="75">
        <f t="shared" si="17"/>
        <v>0.2276441866750889</v>
      </c>
      <c r="I53" s="68">
        <f t="shared" si="18"/>
        <v>0.0010791113060855185</v>
      </c>
      <c r="J53" s="56"/>
      <c r="K53" s="69">
        <f t="shared" si="19"/>
        <v>0.4118490960181224</v>
      </c>
      <c r="L53" s="70">
        <f t="shared" si="20"/>
        <v>0.3491230282385857</v>
      </c>
      <c r="M53" s="34"/>
      <c r="Q53" s="113">
        <f t="shared" si="21"/>
        <v>0.8200000000000007</v>
      </c>
      <c r="R53" s="109">
        <f t="shared" si="22"/>
        <v>2.459695984958927</v>
      </c>
      <c r="S53" s="99">
        <f t="shared" si="23"/>
        <v>0.2276441866750889</v>
      </c>
    </row>
    <row r="54" spans="1:19" ht="12.75">
      <c r="A54" s="71">
        <v>0.15999999999999925</v>
      </c>
      <c r="B54" s="72">
        <v>0.12228</v>
      </c>
      <c r="C54" s="73">
        <f t="shared" si="12"/>
        <v>0.4799406799919831</v>
      </c>
      <c r="D54" s="74">
        <f t="shared" si="13"/>
        <v>0.3667946646838748</v>
      </c>
      <c r="E54" s="74">
        <f t="shared" si="14"/>
        <v>0.7335893293677496</v>
      </c>
      <c r="F54" s="74">
        <f t="shared" si="15"/>
        <v>2.304644237141722</v>
      </c>
      <c r="G54" s="73">
        <f t="shared" si="16"/>
        <v>0.19205368642847684</v>
      </c>
      <c r="H54" s="75">
        <f t="shared" si="17"/>
        <v>0.20405368642847685</v>
      </c>
      <c r="I54" s="68">
        <f t="shared" si="18"/>
        <v>0.0009607807788740687</v>
      </c>
      <c r="J54" s="56"/>
      <c r="K54" s="69">
        <f t="shared" si="19"/>
        <v>0.3667946646838748</v>
      </c>
      <c r="L54" s="70">
        <f t="shared" si="20"/>
        <v>0.30950979216767627</v>
      </c>
      <c r="M54" s="34"/>
      <c r="Q54" s="113">
        <f t="shared" si="21"/>
        <v>0.8400000000000007</v>
      </c>
      <c r="R54" s="109">
        <f t="shared" si="22"/>
        <v>2.5196885699579252</v>
      </c>
      <c r="S54" s="99">
        <f t="shared" si="23"/>
        <v>0.20405368642847685</v>
      </c>
    </row>
    <row r="55" spans="1:19" ht="12.75">
      <c r="A55" s="71">
        <v>0.13999999999999924</v>
      </c>
      <c r="B55" s="72">
        <v>0.10716</v>
      </c>
      <c r="C55" s="73">
        <f t="shared" si="12"/>
        <v>0.4199480949929849</v>
      </c>
      <c r="D55" s="74">
        <f t="shared" si="13"/>
        <v>0.3214402704246322</v>
      </c>
      <c r="E55" s="74">
        <f t="shared" si="14"/>
        <v>0.6428805408492644</v>
      </c>
      <c r="F55" s="74">
        <f t="shared" si="15"/>
        <v>2.019673507132049</v>
      </c>
      <c r="G55" s="73">
        <f t="shared" si="16"/>
        <v>0.1683061255943374</v>
      </c>
      <c r="H55" s="75">
        <f t="shared" si="17"/>
        <v>0.18030612559433742</v>
      </c>
      <c r="I55" s="68">
        <f t="shared" si="18"/>
        <v>0.000841704306069716</v>
      </c>
      <c r="J55" s="56"/>
      <c r="K55" s="69">
        <f t="shared" si="19"/>
        <v>0.3214402704246322</v>
      </c>
      <c r="L55" s="70">
        <f t="shared" si="20"/>
        <v>0.27024034887853343</v>
      </c>
      <c r="M55" s="34"/>
      <c r="Q55" s="113">
        <f t="shared" si="21"/>
        <v>0.8600000000000008</v>
      </c>
      <c r="R55" s="109">
        <f t="shared" si="22"/>
        <v>2.5796811549569236</v>
      </c>
      <c r="S55" s="99">
        <f t="shared" si="23"/>
        <v>0.18030612559433742</v>
      </c>
    </row>
    <row r="56" spans="1:19" ht="12.75">
      <c r="A56" s="76">
        <v>0.11999999999999922</v>
      </c>
      <c r="B56" s="77">
        <v>0.09195</v>
      </c>
      <c r="C56" s="78">
        <f t="shared" si="12"/>
        <v>0.3599555099939867</v>
      </c>
      <c r="D56" s="79">
        <f t="shared" si="13"/>
        <v>0.2758159095328941</v>
      </c>
      <c r="E56" s="79">
        <f t="shared" si="14"/>
        <v>0.5516318190657882</v>
      </c>
      <c r="F56" s="79">
        <f t="shared" si="15"/>
        <v>1.7330065227770801</v>
      </c>
      <c r="G56" s="73">
        <f t="shared" si="16"/>
        <v>0.14441721023142334</v>
      </c>
      <c r="H56" s="84">
        <f t="shared" si="17"/>
        <v>0.15641721023142335</v>
      </c>
      <c r="I56" s="81">
        <f t="shared" si="18"/>
        <v>0.0007220781891442736</v>
      </c>
      <c r="J56" s="85"/>
      <c r="K56" s="82">
        <f t="shared" si="19"/>
        <v>0.2758159095328941</v>
      </c>
      <c r="L56" s="83">
        <f t="shared" si="20"/>
        <v>0.23128488779690243</v>
      </c>
      <c r="M56" s="51"/>
      <c r="Q56" s="113">
        <f t="shared" si="21"/>
        <v>0.8800000000000008</v>
      </c>
      <c r="R56" s="109">
        <f t="shared" si="22"/>
        <v>2.6396737399559216</v>
      </c>
      <c r="S56" s="99">
        <f t="shared" si="23"/>
        <v>0.15641721023142335</v>
      </c>
    </row>
    <row r="57" spans="1:19" ht="12.75">
      <c r="A57" s="76">
        <v>0.0999999999999992</v>
      </c>
      <c r="B57" s="77">
        <v>0.07669</v>
      </c>
      <c r="C57" s="78">
        <f t="shared" si="12"/>
        <v>0.29996292499498844</v>
      </c>
      <c r="D57" s="79">
        <f t="shared" si="13"/>
        <v>0.23004156717865845</v>
      </c>
      <c r="E57" s="79">
        <f t="shared" si="14"/>
        <v>0.4600831343573169</v>
      </c>
      <c r="F57" s="79">
        <f t="shared" si="15"/>
        <v>1.4453971748969467</v>
      </c>
      <c r="G57" s="73">
        <f t="shared" si="16"/>
        <v>0.12044976457474556</v>
      </c>
      <c r="H57" s="84">
        <f t="shared" si="17"/>
        <v>0.13244976457474555</v>
      </c>
      <c r="I57" s="81">
        <f t="shared" si="18"/>
        <v>0.0006020594692751971</v>
      </c>
      <c r="J57" s="85"/>
      <c r="K57" s="82">
        <f t="shared" si="19"/>
        <v>0.23004156717865845</v>
      </c>
      <c r="L57" s="83">
        <f t="shared" si="20"/>
        <v>0.19250577180776135</v>
      </c>
      <c r="M57" s="51"/>
      <c r="Q57" s="113">
        <f t="shared" si="21"/>
        <v>0.9000000000000008</v>
      </c>
      <c r="R57" s="109">
        <f t="shared" si="22"/>
        <v>2.69966632495492</v>
      </c>
      <c r="S57" s="99">
        <f t="shared" si="23"/>
        <v>0.13244976457474555</v>
      </c>
    </row>
    <row r="58" spans="1:19" ht="12.75">
      <c r="A58" s="71">
        <v>0.07999999999999918</v>
      </c>
      <c r="B58" s="72">
        <v>0.06138</v>
      </c>
      <c r="C58" s="73">
        <f t="shared" si="12"/>
        <v>0.2399703399959902</v>
      </c>
      <c r="D58" s="74">
        <f t="shared" si="13"/>
        <v>0.18411724336192536</v>
      </c>
      <c r="E58" s="74">
        <f t="shared" si="14"/>
        <v>0.36823448672385073</v>
      </c>
      <c r="F58" s="74">
        <f t="shared" si="15"/>
        <v>1.1568454634916494</v>
      </c>
      <c r="G58" s="73">
        <f t="shared" si="16"/>
        <v>0.09640378862430411</v>
      </c>
      <c r="H58" s="75">
        <f t="shared" si="17"/>
        <v>0.10840378862430411</v>
      </c>
      <c r="I58" s="68">
        <f t="shared" si="18"/>
        <v>0.0004817659273455762</v>
      </c>
      <c r="J58" s="56"/>
      <c r="K58" s="69">
        <f t="shared" si="19"/>
        <v>0.18411724336192536</v>
      </c>
      <c r="L58" s="70">
        <f t="shared" si="20"/>
        <v>0.15390438923099514</v>
      </c>
      <c r="M58" s="34"/>
      <c r="Q58" s="113">
        <f t="shared" si="21"/>
        <v>0.9200000000000008</v>
      </c>
      <c r="R58" s="109">
        <f t="shared" si="22"/>
        <v>2.7596589099539184</v>
      </c>
      <c r="S58" s="99">
        <f t="shared" si="23"/>
        <v>0.10840378862430411</v>
      </c>
    </row>
    <row r="59" spans="1:19" ht="12.75">
      <c r="A59" s="71">
        <v>0.059999999999999165</v>
      </c>
      <c r="B59" s="72">
        <v>0.04605</v>
      </c>
      <c r="C59" s="73">
        <f t="shared" si="12"/>
        <v>0.179977754996992</v>
      </c>
      <c r="D59" s="74">
        <f t="shared" si="13"/>
        <v>0.13813292696019328</v>
      </c>
      <c r="E59" s="74">
        <f t="shared" si="14"/>
        <v>0.27626585392038655</v>
      </c>
      <c r="F59" s="74">
        <f t="shared" si="15"/>
        <v>0.8679168066762863</v>
      </c>
      <c r="G59" s="73">
        <f t="shared" si="16"/>
        <v>0.0723264005563572</v>
      </c>
      <c r="H59" s="75">
        <f t="shared" si="17"/>
        <v>0.08432640055635719</v>
      </c>
      <c r="I59" s="68">
        <f t="shared" si="18"/>
        <v>0.0003613546045328653</v>
      </c>
      <c r="J59" s="56"/>
      <c r="K59" s="69">
        <f t="shared" si="19"/>
        <v>0.13813292696019328</v>
      </c>
      <c r="L59" s="70">
        <f t="shared" si="20"/>
        <v>0.11537449304728584</v>
      </c>
      <c r="M59" s="34"/>
      <c r="Q59" s="113">
        <f t="shared" si="21"/>
        <v>0.9400000000000008</v>
      </c>
      <c r="R59" s="109">
        <f t="shared" si="22"/>
        <v>2.8196514949529163</v>
      </c>
      <c r="S59" s="99">
        <f t="shared" si="23"/>
        <v>0.08432640055635719</v>
      </c>
    </row>
    <row r="60" spans="1:19" ht="12.75">
      <c r="A60" s="71">
        <v>0.03999999999999915</v>
      </c>
      <c r="B60" s="72">
        <v>0.03071</v>
      </c>
      <c r="C60" s="73">
        <f t="shared" si="12"/>
        <v>0.11998516999799377</v>
      </c>
      <c r="D60" s="74">
        <f t="shared" si="13"/>
        <v>0.09211861426596168</v>
      </c>
      <c r="E60" s="74">
        <f t="shared" si="14"/>
        <v>0.18423722853192337</v>
      </c>
      <c r="F60" s="74">
        <f t="shared" si="15"/>
        <v>0.5787996771558904</v>
      </c>
      <c r="G60" s="73">
        <f t="shared" si="16"/>
        <v>0.048233306429657535</v>
      </c>
      <c r="H60" s="75">
        <f t="shared" si="17"/>
        <v>0.06023330642965753</v>
      </c>
      <c r="I60" s="68">
        <f t="shared" si="18"/>
        <v>0.0002408255008370638</v>
      </c>
      <c r="J60" s="56"/>
      <c r="K60" s="69">
        <f t="shared" si="19"/>
        <v>0.09211861426596168</v>
      </c>
      <c r="L60" s="70">
        <f t="shared" si="20"/>
        <v>0.07688042490504468</v>
      </c>
      <c r="M60" s="34"/>
      <c r="Q60" s="113">
        <f t="shared" si="21"/>
        <v>0.9600000000000009</v>
      </c>
      <c r="R60" s="109">
        <f t="shared" si="22"/>
        <v>2.8796440799519147</v>
      </c>
      <c r="S60" s="99">
        <f t="shared" si="23"/>
        <v>0.06023330642965753</v>
      </c>
    </row>
    <row r="61" spans="1:19" ht="12.75">
      <c r="A61" s="71">
        <v>0.01999999999999913</v>
      </c>
      <c r="B61" s="72">
        <v>0.01535</v>
      </c>
      <c r="C61" s="73">
        <f t="shared" si="12"/>
        <v>0.059992584998995555</v>
      </c>
      <c r="D61" s="74">
        <f t="shared" si="13"/>
        <v>0.0460443089867311</v>
      </c>
      <c r="E61" s="74">
        <f t="shared" si="14"/>
        <v>0.0920886179734622</v>
      </c>
      <c r="F61" s="74">
        <f t="shared" si="15"/>
        <v>0.28930560222542884</v>
      </c>
      <c r="G61" s="73">
        <f t="shared" si="16"/>
        <v>0.024108800185452403</v>
      </c>
      <c r="H61" s="75">
        <f t="shared" si="17"/>
        <v>0.0361088001854524</v>
      </c>
      <c r="I61" s="68">
        <f t="shared" si="18"/>
        <v>0.00012025713684689894</v>
      </c>
      <c r="J61" s="56"/>
      <c r="K61" s="69">
        <f t="shared" si="19"/>
        <v>0.0460443089867311</v>
      </c>
      <c r="L61" s="70">
        <f t="shared" si="20"/>
        <v>0.03845818332678313</v>
      </c>
      <c r="M61" s="34"/>
      <c r="Q61" s="113">
        <f t="shared" si="21"/>
        <v>0.9800000000000009</v>
      </c>
      <c r="R61" s="109">
        <f t="shared" si="22"/>
        <v>2.9396366649509127</v>
      </c>
      <c r="S61" s="99">
        <f t="shared" si="23"/>
        <v>0.0361088001854524</v>
      </c>
    </row>
    <row r="62" spans="1:20" ht="12.75">
      <c r="A62" s="86">
        <v>-8.881784197001252E-16</v>
      </c>
      <c r="B62" s="87">
        <v>0</v>
      </c>
      <c r="C62" s="88">
        <f t="shared" si="12"/>
        <v>-2.6642059669067816E-15</v>
      </c>
      <c r="D62" s="89">
        <f t="shared" si="13"/>
        <v>0</v>
      </c>
      <c r="E62" s="89">
        <f t="shared" si="14"/>
        <v>0</v>
      </c>
      <c r="F62" s="89">
        <f t="shared" si="15"/>
        <v>0</v>
      </c>
      <c r="G62" s="73">
        <f t="shared" si="16"/>
        <v>0</v>
      </c>
      <c r="H62" s="90">
        <f t="shared" si="17"/>
        <v>0.012</v>
      </c>
      <c r="I62" s="91">
        <f t="shared" si="18"/>
        <v>1.3321029834533909E-18</v>
      </c>
      <c r="J62" s="56"/>
      <c r="K62" s="69">
        <f t="shared" si="19"/>
        <v>0</v>
      </c>
      <c r="L62" s="56">
        <v>0</v>
      </c>
      <c r="M62" s="34"/>
      <c r="Q62" s="114">
        <f t="shared" si="21"/>
        <v>1.0000000000000009</v>
      </c>
      <c r="R62" s="110">
        <f t="shared" si="22"/>
        <v>2.999629249949911</v>
      </c>
      <c r="S62" s="97">
        <f t="shared" si="23"/>
        <v>0.012</v>
      </c>
      <c r="T62" s="101" t="s">
        <v>66</v>
      </c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1"/>
      <c r="B64" s="31"/>
      <c r="C64" s="31"/>
      <c r="D64" s="31"/>
      <c r="E64" s="31"/>
      <c r="F64" s="31"/>
      <c r="G64" s="31"/>
      <c r="H64" s="31"/>
      <c r="I64" s="33"/>
      <c r="J64" s="33"/>
      <c r="K64" s="33"/>
      <c r="L64" s="33"/>
      <c r="M64" s="33"/>
    </row>
  </sheetData>
  <printOptions/>
  <pageMargins left="0.75" right="0.75" top="0" bottom="0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Gore Pattern Spreadsheet</dc:title>
  <dc:subject>Balloons</dc:subject>
  <dc:creator>Steve Griffin</dc:creator>
  <cp:keywords/>
  <dc:description/>
  <cp:lastModifiedBy>Steve Griffin</cp:lastModifiedBy>
  <cp:lastPrinted>1997-04-28T23:37:29Z</cp:lastPrinted>
  <dcterms:modified xsi:type="dcterms:W3CDTF">2004-04-08T08:46:46Z</dcterms:modified>
  <cp:category/>
  <cp:version/>
  <cp:contentType/>
  <cp:contentStatus/>
</cp:coreProperties>
</file>